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1" documentId="8_{1D1F4E83-DFB4-4479-B27C-256F6E913D25}" xr6:coauthVersionLast="47" xr6:coauthVersionMax="47" xr10:uidLastSave="{E185254D-B5BF-489A-AE51-C0A11F3419FA}"/>
  <bookViews>
    <workbookView xWindow="28680" yWindow="-120" windowWidth="29040" windowHeight="15720" tabRatio="932" activeTab="11" xr2:uid="{00000000-000D-0000-FFFF-FFFF00000000}"/>
  </bookViews>
  <sheets>
    <sheet name="Janvier" sheetId="4" r:id="rId1"/>
    <sheet name="Février" sheetId="5" r:id="rId2"/>
    <sheet name="Mars" sheetId="17" r:id="rId3"/>
    <sheet name="Avril" sheetId="18" r:id="rId4"/>
    <sheet name="Mai" sheetId="19" r:id="rId5"/>
    <sheet name="Juin" sheetId="20" r:id="rId6"/>
    <sheet name="Juillet" sheetId="21" r:id="rId7"/>
    <sheet name="Août" sheetId="22" r:id="rId8"/>
    <sheet name="Septembre" sheetId="23" r:id="rId9"/>
    <sheet name="Octobre" sheetId="24" r:id="rId10"/>
    <sheet name="Novembre" sheetId="25" r:id="rId11"/>
    <sheet name="Décembre" sheetId="15" r:id="rId12"/>
    <sheet name="Noms des Associations" sheetId="16" r:id="rId13"/>
  </sheets>
  <definedNames>
    <definedName name="CalendarYear">Janvier!$AH$6</definedName>
    <definedName name="CléCongé">Janvier!$C$4</definedName>
    <definedName name="CléMaladie">Janvier!$J$4</definedName>
    <definedName name="CléPersonnalisée1">Janvier!$N$4</definedName>
    <definedName name="CléPersonnalisée2">Janvier!$S$4</definedName>
    <definedName name="CléPersonnel">Janvier!$F$4</definedName>
    <definedName name="ÉtiquetteCléCongé">Janvier!$D$4</definedName>
    <definedName name="ÉtiquetteCléMaladie">Janvier!$K$4</definedName>
    <definedName name="ÉtiquetteCléPersonnalisée1">Janvier!$O$4</definedName>
    <definedName name="ÉtiquetteCléPersonnalisée2">Janvier!$T$4</definedName>
    <definedName name="ÉtiquetteCléPersonnel">Janvier!$G$4</definedName>
    <definedName name="_xlnm.Print_Titles" localSheetId="7">Août!$6:$8</definedName>
    <definedName name="_xlnm.Print_Titles" localSheetId="3">Avril!$7:$9</definedName>
    <definedName name="_xlnm.Print_Titles" localSheetId="11">Décembre!$6:$8</definedName>
    <definedName name="_xlnm.Print_Titles" localSheetId="1">Février!$6:$8</definedName>
    <definedName name="_xlnm.Print_Titles" localSheetId="0">Janvier!$6:$8</definedName>
    <definedName name="_xlnm.Print_Titles" localSheetId="6">Juillet!$7:$8</definedName>
    <definedName name="_xlnm.Print_Titles" localSheetId="5">Juin!$6:$8</definedName>
    <definedName name="_xlnm.Print_Titles" localSheetId="4">Mai!$4:$6</definedName>
    <definedName name="_xlnm.Print_Titles" localSheetId="2">Mars!$6:$8</definedName>
    <definedName name="_xlnm.Print_Titles" localSheetId="10">Novembre!$6:$8</definedName>
    <definedName name="_xlnm.Print_Titles" localSheetId="9">Octobre!$6:$8</definedName>
    <definedName name="_xlnm.Print_Titles" localSheetId="8">Septembre!$6:$8</definedName>
    <definedName name="Nom_clé">Janvier!$B$4</definedName>
    <definedName name="NomMois" localSheetId="7">Août!$B$2</definedName>
    <definedName name="NomMois" localSheetId="3">Avril!$B$2</definedName>
    <definedName name="NomMois" localSheetId="11">Décembre!$B$2</definedName>
    <definedName name="NomMois" localSheetId="1">Février!$B$2</definedName>
    <definedName name="NomMois" localSheetId="0">Janvier!$B$2</definedName>
    <definedName name="NomMois" localSheetId="6">Juillet!$B$2</definedName>
    <definedName name="NomMois" localSheetId="5">Juin!$B$2</definedName>
    <definedName name="NomMois" localSheetId="4">Mai!$B$4</definedName>
    <definedName name="NomMois" localSheetId="2">Mars!$B$2</definedName>
    <definedName name="NomMois" localSheetId="10">Novembre!$B$2</definedName>
    <definedName name="NomMois" localSheetId="9">Octobre!$B$2</definedName>
    <definedName name="NomMois" localSheetId="8">Septembre!$B$2</definedName>
    <definedName name="Titre_Absence_Employé">Janvier!$B$1</definedName>
    <definedName name="Titre1">Janvier[[#Headers],[Nom du réservataire]]</definedName>
    <definedName name="Titre10">Octobre[[#Headers],[Nom du réservataire]]</definedName>
    <definedName name="Titre11">Novembre[[#Headers],[Nom du réservataire]]</definedName>
    <definedName name="Titre12">Décembre[[#Headers],[Nom du réservataire]]</definedName>
    <definedName name="Titre2">Février[[#Headers],[Nom de l’employé]]</definedName>
    <definedName name="Titre3">Mars[[#Headers],[Nom du réservataire]]</definedName>
    <definedName name="Titre4">March5[[#Headers],[Nom du réservataire]]</definedName>
    <definedName name="Titre5">March58[[#Headers],[Nom du réservataire]]</definedName>
    <definedName name="Titre6">Juin[[#Headers],[Nom du réservataire]]</definedName>
    <definedName name="Titre7">Juillet[[#Headers],[Nom du réservataire]]</definedName>
    <definedName name="Titre8">Août[[#Headers],[Nom du réservataire]]</definedName>
    <definedName name="Titre9">Septembre[[#Headers],[Nom du réservataire]]</definedName>
    <definedName name="TitreColonne13">NomEmployé[[#Headers],[Noms des employés]]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4" i="5" l="1"/>
  <c r="AG7" i="15"/>
  <c r="AF7" i="15"/>
  <c r="AE7" i="15"/>
  <c r="AD7" i="15"/>
  <c r="AC7" i="15"/>
  <c r="AB7" i="15"/>
  <c r="AA7" i="15"/>
  <c r="Z7" i="15"/>
  <c r="Y7" i="15"/>
  <c r="X7" i="15"/>
  <c r="W7" i="15"/>
  <c r="V7" i="15"/>
  <c r="U7" i="15"/>
  <c r="T7" i="15"/>
  <c r="S7" i="15"/>
  <c r="R7" i="15"/>
  <c r="Q7" i="15"/>
  <c r="P7" i="15"/>
  <c r="O7" i="15"/>
  <c r="N7" i="15"/>
  <c r="M7" i="15"/>
  <c r="L7" i="15"/>
  <c r="K7" i="15"/>
  <c r="J7" i="15"/>
  <c r="I7" i="15"/>
  <c r="H7" i="15"/>
  <c r="G7" i="15"/>
  <c r="F7" i="15"/>
  <c r="E7" i="15"/>
  <c r="D7" i="15"/>
  <c r="C7" i="15"/>
  <c r="AF7" i="25"/>
  <c r="AE7" i="25"/>
  <c r="AD7" i="25"/>
  <c r="AC7" i="25"/>
  <c r="AB7" i="25"/>
  <c r="AA7" i="25"/>
  <c r="Z7" i="25"/>
  <c r="Y7" i="25"/>
  <c r="X7" i="25"/>
  <c r="W7" i="25"/>
  <c r="V7" i="25"/>
  <c r="U7" i="25"/>
  <c r="T7" i="25"/>
  <c r="S7" i="25"/>
  <c r="R7" i="25"/>
  <c r="Q7" i="25"/>
  <c r="P7" i="25"/>
  <c r="O7" i="25"/>
  <c r="N7" i="25"/>
  <c r="M7" i="25"/>
  <c r="L7" i="25"/>
  <c r="K7" i="25"/>
  <c r="J7" i="25"/>
  <c r="I7" i="25"/>
  <c r="H7" i="25"/>
  <c r="G7" i="25"/>
  <c r="F7" i="25"/>
  <c r="E7" i="25"/>
  <c r="D7" i="25"/>
  <c r="C7" i="25"/>
  <c r="AG7" i="24"/>
  <c r="AF7" i="24"/>
  <c r="AE7" i="24"/>
  <c r="AD7" i="24"/>
  <c r="AC7" i="24"/>
  <c r="AB7" i="24"/>
  <c r="AA7" i="24"/>
  <c r="Z7" i="24"/>
  <c r="Y7" i="24"/>
  <c r="X7" i="24"/>
  <c r="W7" i="24"/>
  <c r="V7" i="24"/>
  <c r="U7" i="24"/>
  <c r="T7" i="24"/>
  <c r="S7" i="24"/>
  <c r="R7" i="24"/>
  <c r="Q7" i="24"/>
  <c r="P7" i="24"/>
  <c r="O7" i="24"/>
  <c r="N7" i="24"/>
  <c r="M7" i="24"/>
  <c r="L7" i="24"/>
  <c r="K7" i="24"/>
  <c r="J7" i="24"/>
  <c r="I7" i="24"/>
  <c r="H7" i="24"/>
  <c r="G7" i="24"/>
  <c r="F7" i="24"/>
  <c r="E7" i="24"/>
  <c r="D7" i="24"/>
  <c r="C7" i="24"/>
  <c r="AF7" i="23"/>
  <c r="AE7" i="23"/>
  <c r="AD7" i="23"/>
  <c r="AC7" i="23"/>
  <c r="AB7" i="23"/>
  <c r="AA7" i="23"/>
  <c r="Z7" i="23"/>
  <c r="Y7" i="23"/>
  <c r="X7" i="23"/>
  <c r="W7" i="23"/>
  <c r="V7" i="23"/>
  <c r="U7" i="23"/>
  <c r="T7" i="23"/>
  <c r="S7" i="23"/>
  <c r="R7" i="23"/>
  <c r="Q7" i="23"/>
  <c r="P7" i="23"/>
  <c r="O7" i="23"/>
  <c r="N7" i="23"/>
  <c r="M7" i="23"/>
  <c r="L7" i="23"/>
  <c r="K7" i="23"/>
  <c r="J7" i="23"/>
  <c r="I7" i="23"/>
  <c r="H7" i="23"/>
  <c r="G7" i="23"/>
  <c r="F7" i="23"/>
  <c r="E7" i="23"/>
  <c r="D7" i="23"/>
  <c r="C7" i="23"/>
  <c r="AG7" i="22"/>
  <c r="AF7" i="22"/>
  <c r="AE7" i="22"/>
  <c r="AD7" i="22"/>
  <c r="AC7" i="22"/>
  <c r="AB7" i="22"/>
  <c r="AA7" i="22"/>
  <c r="Z7" i="22"/>
  <c r="Y7" i="22"/>
  <c r="X7" i="22"/>
  <c r="W7" i="22"/>
  <c r="V7" i="22"/>
  <c r="U7" i="22"/>
  <c r="T7" i="22"/>
  <c r="S7" i="22"/>
  <c r="R7" i="22"/>
  <c r="Q7" i="22"/>
  <c r="P7" i="22"/>
  <c r="O7" i="22"/>
  <c r="N7" i="22"/>
  <c r="M7" i="22"/>
  <c r="L7" i="22"/>
  <c r="K7" i="22"/>
  <c r="J7" i="22"/>
  <c r="I7" i="22"/>
  <c r="H7" i="22"/>
  <c r="G7" i="22"/>
  <c r="F7" i="22"/>
  <c r="E7" i="22"/>
  <c r="D7" i="22"/>
  <c r="C7" i="22"/>
  <c r="AG7" i="21"/>
  <c r="AF7" i="21"/>
  <c r="AE7" i="21"/>
  <c r="AD7" i="21"/>
  <c r="AC7" i="21"/>
  <c r="AB7" i="21"/>
  <c r="AA7" i="21"/>
  <c r="Z7" i="21"/>
  <c r="Y7" i="21"/>
  <c r="X7" i="21"/>
  <c r="W7" i="21"/>
  <c r="V7" i="21"/>
  <c r="U7" i="21"/>
  <c r="T7" i="21"/>
  <c r="S7" i="21"/>
  <c r="R7" i="21"/>
  <c r="Q7" i="21"/>
  <c r="P7" i="21"/>
  <c r="O7" i="21"/>
  <c r="N7" i="21"/>
  <c r="M7" i="21"/>
  <c r="L7" i="21"/>
  <c r="K7" i="21"/>
  <c r="J7" i="21"/>
  <c r="I7" i="21"/>
  <c r="H7" i="21"/>
  <c r="G7" i="21"/>
  <c r="F7" i="21"/>
  <c r="E7" i="21"/>
  <c r="D7" i="21"/>
  <c r="C7" i="21"/>
  <c r="AF7" i="20"/>
  <c r="AE7" i="20"/>
  <c r="AD7" i="20"/>
  <c r="AC7" i="20"/>
  <c r="AB7" i="20"/>
  <c r="AA7" i="20"/>
  <c r="Z7" i="20"/>
  <c r="Y7" i="20"/>
  <c r="X7" i="20"/>
  <c r="W7" i="20"/>
  <c r="V7" i="20"/>
  <c r="U7" i="20"/>
  <c r="T7" i="20"/>
  <c r="S7" i="20"/>
  <c r="R7" i="20"/>
  <c r="Q7" i="20"/>
  <c r="P7" i="20"/>
  <c r="O7" i="20"/>
  <c r="N7" i="20"/>
  <c r="M7" i="20"/>
  <c r="L7" i="20"/>
  <c r="K7" i="20"/>
  <c r="J7" i="20"/>
  <c r="I7" i="20"/>
  <c r="H7" i="20"/>
  <c r="G7" i="20"/>
  <c r="F7" i="20"/>
  <c r="E7" i="20"/>
  <c r="D7" i="20"/>
  <c r="C7" i="20"/>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AG7" i="17"/>
  <c r="AF7" i="17"/>
  <c r="AE7" i="17"/>
  <c r="AD7" i="17"/>
  <c r="AC7" i="17"/>
  <c r="AB7" i="17"/>
  <c r="AA7" i="17"/>
  <c r="Z7" i="17"/>
  <c r="Y7" i="17"/>
  <c r="X7" i="17"/>
  <c r="W7" i="17"/>
  <c r="V7" i="17"/>
  <c r="U7" i="17"/>
  <c r="T7" i="17"/>
  <c r="S7" i="17"/>
  <c r="R7" i="17"/>
  <c r="Q7" i="17"/>
  <c r="P7" i="17"/>
  <c r="O7" i="17"/>
  <c r="N7" i="17"/>
  <c r="M7" i="17"/>
  <c r="L7" i="17"/>
  <c r="K7" i="17"/>
  <c r="J7" i="17"/>
  <c r="I7" i="17"/>
  <c r="H7" i="17"/>
  <c r="G7" i="17"/>
  <c r="F7" i="17"/>
  <c r="E7" i="17"/>
  <c r="D7" i="17"/>
  <c r="C7" i="17"/>
  <c r="AE7" i="5"/>
  <c r="AD7" i="5"/>
  <c r="AC7" i="5"/>
  <c r="AB7" i="5"/>
  <c r="AA7" i="5"/>
  <c r="Z7" i="5"/>
  <c r="Y7" i="5"/>
  <c r="X7" i="5"/>
  <c r="W7" i="5"/>
  <c r="V7" i="5"/>
  <c r="U7" i="5"/>
  <c r="T7" i="5"/>
  <c r="S7" i="5"/>
  <c r="R7" i="5"/>
  <c r="Q7" i="5"/>
  <c r="P7" i="5"/>
  <c r="O7" i="5"/>
  <c r="N7" i="5"/>
  <c r="M7" i="5"/>
  <c r="L7" i="5"/>
  <c r="K7" i="5"/>
  <c r="J7" i="5"/>
  <c r="I7" i="5"/>
  <c r="H7" i="5"/>
  <c r="G7" i="5"/>
  <c r="F7" i="5"/>
  <c r="E7" i="5"/>
  <c r="D7" i="5"/>
  <c r="C7" i="5"/>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14" i="19" l="1"/>
  <c r="B14" i="18"/>
  <c r="B14" i="4"/>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AH13" i="19"/>
  <c r="AH12" i="19"/>
  <c r="AH11" i="19"/>
  <c r="AH10" i="19"/>
  <c r="AH9" i="19"/>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AH13" i="18"/>
  <c r="AH12" i="18"/>
  <c r="AH11" i="18"/>
  <c r="AH10" i="18"/>
  <c r="AH9" i="18"/>
  <c r="AH14" i="18" s="1"/>
  <c r="B15" i="5"/>
  <c r="AH11" i="4"/>
  <c r="AH12" i="4"/>
  <c r="AH14" i="19" l="1"/>
  <c r="B14" i="23"/>
  <c r="AG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H13" i="25"/>
  <c r="AH12" i="25"/>
  <c r="AH11" i="25"/>
  <c r="AH10" i="25"/>
  <c r="AH9" i="25"/>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D14" i="24"/>
  <c r="C14" i="24"/>
  <c r="B14" i="24"/>
  <c r="AH13" i="24"/>
  <c r="AH12" i="24"/>
  <c r="AH11" i="24"/>
  <c r="AH10" i="24"/>
  <c r="AH9" i="24"/>
  <c r="AG14" i="23"/>
  <c r="AF14" i="23"/>
  <c r="AE14" i="23"/>
  <c r="AD14" i="23"/>
  <c r="AC14" i="23"/>
  <c r="AB14" i="23"/>
  <c r="AA14" i="23"/>
  <c r="Z14" i="23"/>
  <c r="Y14" i="23"/>
  <c r="X14" i="23"/>
  <c r="W14" i="23"/>
  <c r="V14" i="23"/>
  <c r="U14" i="23"/>
  <c r="T14" i="23"/>
  <c r="S14" i="23"/>
  <c r="R14" i="23"/>
  <c r="Q14" i="23"/>
  <c r="P14" i="23"/>
  <c r="O14" i="23"/>
  <c r="N14" i="23"/>
  <c r="M14" i="23"/>
  <c r="L14" i="23"/>
  <c r="K14" i="23"/>
  <c r="J14" i="23"/>
  <c r="I14" i="23"/>
  <c r="H14" i="23"/>
  <c r="G14" i="23"/>
  <c r="F14" i="23"/>
  <c r="E14" i="23"/>
  <c r="D14" i="23"/>
  <c r="C14" i="23"/>
  <c r="AH13" i="23"/>
  <c r="AH12" i="23"/>
  <c r="AH11" i="23"/>
  <c r="AH10" i="23"/>
  <c r="AH9" i="23"/>
  <c r="AG14" i="22"/>
  <c r="AF14" i="22"/>
  <c r="AE14" i="22"/>
  <c r="AD14" i="22"/>
  <c r="AC14" i="22"/>
  <c r="AB14"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14" i="22"/>
  <c r="AH13" i="22"/>
  <c r="AH12" i="22"/>
  <c r="AH11" i="22"/>
  <c r="AH10" i="22"/>
  <c r="AH9" i="22"/>
  <c r="AG14" i="21"/>
  <c r="AF14" i="21"/>
  <c r="AE14" i="21"/>
  <c r="AD14" i="21"/>
  <c r="AC14" i="21"/>
  <c r="AB14" i="21"/>
  <c r="AA14" i="21"/>
  <c r="Z14" i="21"/>
  <c r="Y14" i="21"/>
  <c r="X14" i="21"/>
  <c r="W14" i="21"/>
  <c r="V14" i="21"/>
  <c r="U14" i="21"/>
  <c r="T14" i="21"/>
  <c r="S14" i="21"/>
  <c r="R14" i="21"/>
  <c r="Q14" i="21"/>
  <c r="P14" i="21"/>
  <c r="O14" i="21"/>
  <c r="N14" i="21"/>
  <c r="M14" i="21"/>
  <c r="L14" i="21"/>
  <c r="K14" i="21"/>
  <c r="J14" i="21"/>
  <c r="I14" i="21"/>
  <c r="H14" i="21"/>
  <c r="G14" i="21"/>
  <c r="F14" i="21"/>
  <c r="E14" i="21"/>
  <c r="D14" i="21"/>
  <c r="C14" i="21"/>
  <c r="B14" i="21"/>
  <c r="AH13" i="21"/>
  <c r="AH12" i="21"/>
  <c r="AH11" i="21"/>
  <c r="AH10" i="21"/>
  <c r="AH9" i="21"/>
  <c r="AG14" i="20"/>
  <c r="AF14" i="20"/>
  <c r="AE14" i="20"/>
  <c r="AD14" i="20"/>
  <c r="AC14" i="20"/>
  <c r="AB14"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14" i="20"/>
  <c r="AH13" i="20"/>
  <c r="AH12" i="20"/>
  <c r="AH11" i="20"/>
  <c r="AH10" i="20"/>
  <c r="AH9" i="20"/>
  <c r="AG14" i="17"/>
  <c r="AF14" i="17"/>
  <c r="AE14" i="17"/>
  <c r="AD14" i="17"/>
  <c r="AC14" i="17"/>
  <c r="AB14" i="17"/>
  <c r="AA14" i="17"/>
  <c r="Z14" i="17"/>
  <c r="Y14" i="17"/>
  <c r="X14" i="17"/>
  <c r="W14" i="17"/>
  <c r="V14" i="17"/>
  <c r="U14" i="17"/>
  <c r="T14" i="17"/>
  <c r="S14" i="17"/>
  <c r="R14" i="17"/>
  <c r="Q14" i="17"/>
  <c r="P14" i="17"/>
  <c r="O14" i="17"/>
  <c r="N14" i="17"/>
  <c r="M14" i="17"/>
  <c r="L14" i="17"/>
  <c r="K14" i="17"/>
  <c r="J14" i="17"/>
  <c r="I14" i="17"/>
  <c r="H14" i="17"/>
  <c r="G14" i="17"/>
  <c r="F14" i="17"/>
  <c r="E14" i="17"/>
  <c r="D14" i="17"/>
  <c r="C14" i="17"/>
  <c r="B14" i="17"/>
  <c r="AH13" i="17"/>
  <c r="AH12" i="17"/>
  <c r="AH11" i="17"/>
  <c r="AH10" i="17"/>
  <c r="AH9" i="17"/>
  <c r="AH14" i="23" l="1"/>
  <c r="AH14" i="17"/>
  <c r="AH14" i="21"/>
  <c r="AH14" i="22"/>
  <c r="AH14" i="25"/>
  <c r="AH14" i="20"/>
  <c r="AH14" i="24"/>
  <c r="C14" i="4" l="1"/>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G14" i="15" l="1"/>
  <c r="AF14" i="15"/>
  <c r="AH9" i="15"/>
  <c r="AH10" i="15"/>
  <c r="AH11" i="15"/>
  <c r="AH12" i="15"/>
  <c r="AH13" i="15"/>
  <c r="AH14" i="15" l="1"/>
  <c r="C14" i="15"/>
  <c r="D14" i="15"/>
  <c r="E14" i="15"/>
  <c r="F14" i="15"/>
  <c r="G14" i="15"/>
  <c r="H14" i="15"/>
  <c r="I14" i="15"/>
  <c r="J14" i="15"/>
  <c r="K14" i="15"/>
  <c r="L14" i="15"/>
  <c r="M14" i="15"/>
  <c r="N14" i="15"/>
  <c r="O14" i="15"/>
  <c r="P14" i="15"/>
  <c r="Q14" i="15"/>
  <c r="R14" i="15"/>
  <c r="S14" i="15"/>
  <c r="T14" i="15"/>
  <c r="U14" i="15"/>
  <c r="V14" i="15"/>
  <c r="W14" i="15"/>
  <c r="X14" i="15"/>
  <c r="Y14" i="15"/>
  <c r="Z14" i="15"/>
  <c r="AA14" i="15"/>
  <c r="AB14" i="15"/>
  <c r="AC14" i="15"/>
  <c r="AD14" i="15"/>
  <c r="AE14" i="15"/>
  <c r="B14" i="15" l="1"/>
  <c r="AH13" i="5" l="1"/>
  <c r="AH12" i="5"/>
  <c r="AH11" i="5"/>
  <c r="AH13" i="4"/>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AH10" i="5"/>
  <c r="AH9" i="5"/>
  <c r="AH15" i="5" l="1"/>
  <c r="AH9" i="4"/>
  <c r="AH10" i="4"/>
  <c r="AH14" i="4" l="1"/>
</calcChain>
</file>

<file path=xl/sharedStrings.xml><?xml version="1.0" encoding="utf-8"?>
<sst xmlns="http://schemas.openxmlformats.org/spreadsheetml/2006/main" count="641" uniqueCount="66">
  <si>
    <t>Janvier</t>
  </si>
  <si>
    <t>Nom de l’employé</t>
  </si>
  <si>
    <t>C</t>
  </si>
  <si>
    <t>1</t>
  </si>
  <si>
    <t>2</t>
  </si>
  <si>
    <t>3</t>
  </si>
  <si>
    <t>P</t>
  </si>
  <si>
    <t>4</t>
  </si>
  <si>
    <t>M</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</si>
  <si>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</si>
  <si>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</si>
  <si>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</si>
  <si>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</si>
  <si>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</si>
  <si>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</si>
  <si>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</si>
  <si>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</si>
  <si>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</si>
  <si>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</si>
  <si>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</si>
  <si>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</si>
  <si>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</si>
  <si>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</si>
  <si>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</si>
  <si>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</si>
  <si>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</si>
  <si>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</si>
  <si>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</si>
  <si>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</si>
  <si>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</si>
  <si>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</si>
  <si>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</si>
  <si>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</si>
  <si>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</si>
  <si>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</si>
  <si>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</si>
  <si>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des jours</t>
  </si>
  <si>
    <t>Février</t>
  </si>
  <si>
    <t xml:space="preserve"> </t>
  </si>
  <si>
    <t xml:space="preserve">  </t>
  </si>
  <si>
    <t>Mars</t>
  </si>
  <si>
    <t>Avril</t>
  </si>
  <si>
    <t>Mai</t>
  </si>
  <si>
    <t>Juin</t>
  </si>
  <si>
    <t>Juillet</t>
  </si>
  <si>
    <t>Août</t>
  </si>
  <si>
    <t>Septembre</t>
  </si>
  <si>
    <t>Octobre</t>
  </si>
  <si>
    <t>Novembre</t>
  </si>
  <si>
    <t>Décembre</t>
  </si>
  <si>
    <t>Noms des employés</t>
  </si>
  <si>
    <t xml:space="preserve">Calendrier des réservations de la salle polyvalente et salle du conseil </t>
  </si>
  <si>
    <t>Clé d'identification du réservataire</t>
  </si>
  <si>
    <t>Particulier de la commune</t>
  </si>
  <si>
    <t>E</t>
  </si>
  <si>
    <t>Particulier extérieur à la commune</t>
  </si>
  <si>
    <t>A</t>
  </si>
  <si>
    <t>Association communale ou extérieure</t>
  </si>
  <si>
    <t>Activités commerciales</t>
  </si>
  <si>
    <t>Noms des Associations</t>
  </si>
  <si>
    <t>CACTUS COUNTRY</t>
  </si>
  <si>
    <t>TANGO DES LYS</t>
  </si>
  <si>
    <t>SHAKTI YOGA SAVOIE</t>
  </si>
  <si>
    <t>MILK'SHAKE</t>
  </si>
  <si>
    <t>Dates de réservation</t>
  </si>
  <si>
    <t>Nom du réservataire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</si>
</sst>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0;0;"/>
  </numFmts>
  <fonts count="33">
    <font>
      <sz val="11"/>
      <color theme="0"/>
      <name val="Calibri"/>
      <family val="2"/>
    </font>
    <font>
      <sz val="11"/>
      <color theme="1"/>
      <name val="Calibri"/>
      <family val="2"/>
      <scheme val="minor"/>
    </font>
    <font>
      <sz val="11"/>
      <color theme="0"/>
      <name val="Calibri"/>
      <family val="2"/>
      <scheme val="minor"/>
    </font>
    <font>
      <sz val="11"/>
      <color rgb="FF000000"/>
      <name val="Calibri"/>
      <family val="2"/>
      <scheme val="minor"/>
    </font>
    <font>
      <b/>
      <sz val="18"/>
      <color theme="3"/>
      <name val="Calibri"/>
      <family val="2"/>
      <scheme val="minor"/>
    </font>
    <font>
      <b/>
      <sz val="11"/>
      <color theme="0"/>
      <name val="Calibri"/>
      <family val="2"/>
      <scheme val="minor"/>
    </font>
    <font>
      <b/>
      <sz val="72"/>
      <color theme="6" tint="0.39997558519241921"/>
      <name val="Calibri"/>
      <family val="2"/>
      <scheme val="minor"/>
    </font>
    <font>
      <sz val="8"/>
      <name val="Calibri"/>
      <family val="2"/>
      <scheme val="minor"/>
    </font>
    <font>
      <b/>
      <sz val="18"/>
      <color theme="4" tint="9.9948118533890809E-2"/>
      <name val="Calibri"/>
      <family val="2"/>
      <scheme val="minor"/>
    </font>
    <font>
      <b/>
      <sz val="72"/>
      <color theme="4" tint="0.249977111117893"/>
      <name val="Calibri"/>
      <family val="2"/>
      <scheme val="minor"/>
    </font>
    <font>
      <b/>
      <sz val="11"/>
      <name val="Calibri"/>
      <family val="2"/>
      <scheme val="minor"/>
    </font>
    <font>
      <b/>
      <sz val="72"/>
      <color theme="7" tint="-0.249977111117893"/>
      <name val="Calibri"/>
      <family val="2"/>
      <scheme val="minor"/>
    </font>
    <font>
      <b/>
      <sz val="72"/>
      <color theme="8" tint="-0.249977111117893"/>
      <name val="Calibri"/>
      <family val="2"/>
      <scheme val="minor"/>
    </font>
    <font>
      <sz val="11"/>
      <color theme="1"/>
      <name val="Calibri"/>
      <family val="2"/>
      <charset val="134"/>
    </font>
    <font>
      <sz val="11"/>
      <color theme="1"/>
      <name val="Calibri"/>
      <family val="2"/>
    </font>
    <font>
      <b/>
      <sz val="11"/>
      <color theme="1"/>
      <name val="Calibri"/>
      <family val="2"/>
    </font>
    <font>
      <sz val="11"/>
      <color theme="0"/>
      <name val="Calibri"/>
      <family val="2"/>
    </font>
    <font>
      <sz val="11"/>
      <color theme="0"/>
      <name val="Calibri"/>
      <family val="2"/>
      <charset val="134"/>
    </font>
    <font>
      <sz val="11"/>
      <color rgb="FF9C0006"/>
      <name val="Calibri"/>
      <family val="2"/>
      <charset val="134"/>
    </font>
    <font>
      <b/>
      <sz val="11"/>
      <color rgb="FFFA7D00"/>
      <name val="Calibri"/>
      <family val="2"/>
      <charset val="134"/>
    </font>
    <font>
      <b/>
      <sz val="11"/>
      <color theme="0"/>
      <name val="Calibri"/>
      <family val="2"/>
      <charset val="134"/>
    </font>
    <font>
      <sz val="11"/>
      <color theme="4" tint="-0.499984740745262"/>
      <name val="Calibri"/>
      <family val="2"/>
    </font>
    <font>
      <i/>
      <sz val="11"/>
      <color rgb="FF7F7F7F"/>
      <name val="Calibri"/>
      <family val="2"/>
      <charset val="134"/>
    </font>
    <font>
      <sz val="11"/>
      <color rgb="FF006100"/>
      <name val="Calibri"/>
      <family val="2"/>
      <charset val="134"/>
    </font>
    <font>
      <b/>
      <sz val="26"/>
      <color theme="3" tint="-0.24994659260841701"/>
      <name val="Calibri"/>
      <family val="2"/>
    </font>
    <font>
      <b/>
      <sz val="18"/>
      <color theme="4" tint="-0.24994659260841701"/>
      <name val="Calibri"/>
      <family val="2"/>
    </font>
    <font>
      <sz val="11"/>
      <color rgb="FF3F3F76"/>
      <name val="Calibri"/>
      <family val="2"/>
      <charset val="134"/>
    </font>
    <font>
      <sz val="11"/>
      <color rgb="FFFA7D00"/>
      <name val="Calibri"/>
      <family val="2"/>
      <charset val="134"/>
    </font>
    <font>
      <sz val="11"/>
      <color rgb="FF9C5700"/>
      <name val="Calibri"/>
      <family val="2"/>
      <charset val="134"/>
    </font>
    <font>
      <b/>
      <sz val="11"/>
      <color rgb="FF3F3F3F"/>
      <name val="Calibri"/>
      <family val="2"/>
      <charset val="134"/>
    </font>
    <font>
      <b/>
      <sz val="26"/>
      <color theme="3"/>
      <name val="Calibri"/>
      <family val="2"/>
    </font>
    <font>
      <sz val="11"/>
      <color rgb="FFFF0000"/>
      <name val="Calibri"/>
      <family val="2"/>
      <charset val="134"/>
    </font>
    <font>
      <sz val="9"/>
      <name val="DengXian"/>
      <family val="3"/>
      <charset val="134"/>
    </font>
  </fonts>
  <fills count="34">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79998168889431442"/>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s>
  <borders count="10">
    <border>
      <left/>
      <right/>
      <top/>
      <bottom/>
      <diagonal/>
    </border>
    <border>
      <left/>
      <right/>
      <top/>
      <bottom style="thin">
        <color theme="4"/>
      </bottom>
      <diagonal/>
    </border>
    <border>
      <left/>
      <right/>
      <top style="thin">
        <color theme="4"/>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horizontal="left" vertical="center"/>
    </xf>
    <xf numFmtId="0" fontId="30" fillId="0" borderId="0" applyNumberFormat="0" applyFill="0" applyBorder="0" applyProtection="0">
      <alignment vertical="top"/>
    </xf>
    <xf numFmtId="0" fontId="24" fillId="0" borderId="0" applyNumberFormat="0" applyFill="0" applyBorder="0" applyProtection="0">
      <alignment vertical="top"/>
    </xf>
    <xf numFmtId="0" fontId="25" fillId="2" borderId="0" applyNumberFormat="0" applyBorder="0" applyProtection="0">
      <alignment horizontal="center" vertical="center"/>
    </xf>
    <xf numFmtId="0" fontId="15" fillId="20" borderId="0" applyNumberFormat="0" applyProtection="0">
      <alignment horizontal="right" vertical="center" indent="1"/>
    </xf>
    <xf numFmtId="0" fontId="14" fillId="0" borderId="0" applyNumberFormat="0" applyFill="0" applyBorder="0" applyProtection="0">
      <alignment horizontal="left" vertical="center" indent="2"/>
    </xf>
    <xf numFmtId="0" fontId="16" fillId="3" borderId="0" applyNumberFormat="0" applyBorder="0" applyAlignment="0" applyProtection="0"/>
    <xf numFmtId="0" fontId="14" fillId="4" borderId="0" applyNumberFormat="0" applyBorder="0" applyProtection="0">
      <alignment horizontal="center" vertical="center"/>
    </xf>
    <xf numFmtId="0" fontId="15" fillId="9" borderId="0" applyNumberFormat="0" applyBorder="0" applyAlignment="0" applyProtection="0"/>
    <xf numFmtId="0" fontId="14" fillId="5" borderId="0" applyNumberFormat="0" applyBorder="0" applyAlignment="0" applyProtection="0"/>
    <xf numFmtId="0" fontId="16" fillId="7" borderId="0" applyNumberFormat="0" applyBorder="0" applyAlignment="0" applyProtection="0"/>
    <xf numFmtId="0" fontId="14" fillId="6" borderId="0" applyNumberFormat="0" applyBorder="0" applyAlignment="0" applyProtection="0"/>
    <xf numFmtId="0" fontId="15" fillId="15" borderId="0" applyNumberFormat="0" applyBorder="0" applyAlignment="0" applyProtection="0"/>
    <xf numFmtId="0" fontId="14" fillId="8" borderId="0" applyNumberFormat="0" applyBorder="0" applyAlignment="0" applyProtection="0"/>
    <xf numFmtId="0" fontId="16" fillId="15" borderId="0" applyNumberFormat="0" applyBorder="0" applyAlignment="0" applyProtection="0"/>
    <xf numFmtId="0" fontId="14" fillId="18" borderId="0" applyNumberFormat="0" applyBorder="0" applyAlignment="0" applyProtection="0"/>
    <xf numFmtId="0" fontId="15" fillId="17"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4" fillId="2" borderId="0" applyNumberFormat="0" applyBorder="0" applyAlignment="0" applyProtection="0"/>
    <xf numFmtId="0" fontId="15" fillId="12" borderId="0" applyNumberFormat="0" applyBorder="0" applyProtection="0">
      <alignment horizontal="left" vertical="center" indent="1"/>
    </xf>
    <xf numFmtId="0" fontId="15" fillId="13" borderId="0" applyNumberFormat="0" applyBorder="0" applyAlignment="0" applyProtection="0"/>
    <xf numFmtId="0" fontId="15" fillId="14" borderId="0" applyNumberFormat="0" applyBorder="0" applyAlignment="0" applyProtection="0"/>
    <xf numFmtId="1" fontId="14" fillId="0" borderId="0" applyFill="0" applyBorder="0" applyProtection="0">
      <alignment horizontal="center" vertical="center"/>
    </xf>
    <xf numFmtId="0" fontId="14" fillId="0" borderId="0" applyNumberFormat="0" applyFill="0" applyBorder="0">
      <alignment horizontal="left" vertical="center" wrapText="1" indent="2"/>
    </xf>
    <xf numFmtId="0" fontId="21" fillId="0" borderId="0">
      <alignment horizontal="center"/>
    </xf>
    <xf numFmtId="165" fontId="16" fillId="0" borderId="0" applyFont="0" applyFill="0" applyBorder="0" applyAlignment="0" applyProtection="0">
      <alignment vertical="center"/>
    </xf>
    <xf numFmtId="164" fontId="16" fillId="0" borderId="0" applyFont="0" applyFill="0" applyBorder="0" applyAlignment="0" applyProtection="0">
      <alignment vertical="center"/>
    </xf>
    <xf numFmtId="44" fontId="16" fillId="0" borderId="0" applyFont="0" applyFill="0" applyBorder="0" applyAlignment="0" applyProtection="0">
      <alignment vertical="center"/>
    </xf>
    <xf numFmtId="42"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3" fillId="22" borderId="0" applyNumberFormat="0" applyBorder="0" applyAlignment="0" applyProtection="0">
      <alignment vertical="center"/>
    </xf>
    <xf numFmtId="0" fontId="18" fillId="23" borderId="0" applyNumberFormat="0" applyBorder="0" applyAlignment="0" applyProtection="0">
      <alignment vertical="center"/>
    </xf>
    <xf numFmtId="0" fontId="28" fillId="24" borderId="0" applyNumberFormat="0" applyBorder="0" applyAlignment="0" applyProtection="0">
      <alignment vertical="center"/>
    </xf>
    <xf numFmtId="0" fontId="26" fillId="25" borderId="5" applyNumberFormat="0" applyAlignment="0" applyProtection="0">
      <alignment vertical="center"/>
    </xf>
    <xf numFmtId="0" fontId="29" fillId="26" borderId="6" applyNumberFormat="0" applyAlignment="0" applyProtection="0">
      <alignment vertical="center"/>
    </xf>
    <xf numFmtId="0" fontId="19" fillId="26" borderId="5" applyNumberFormat="0" applyAlignment="0" applyProtection="0">
      <alignment vertical="center"/>
    </xf>
    <xf numFmtId="0" fontId="27" fillId="0" borderId="7" applyNumberFormat="0" applyFill="0" applyAlignment="0" applyProtection="0">
      <alignment vertical="center"/>
    </xf>
    <xf numFmtId="0" fontId="20" fillId="27" borderId="8" applyNumberFormat="0" applyAlignment="0" applyProtection="0">
      <alignment vertical="center"/>
    </xf>
    <xf numFmtId="0" fontId="31" fillId="0" borderId="0" applyNumberFormat="0" applyFill="0" applyBorder="0" applyAlignment="0" applyProtection="0">
      <alignment vertical="center"/>
    </xf>
    <xf numFmtId="0" fontId="16" fillId="28" borderId="9" applyNumberFormat="0" applyFont="0" applyAlignment="0" applyProtection="0">
      <alignment vertical="center"/>
    </xf>
    <xf numFmtId="0" fontId="22" fillId="0" borderId="0" applyNumberFormat="0" applyFill="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7"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cellStyleXfs>
  <cellXfs count="42">
    <xf numFmtId="0" fontId="0" fillId="0" borderId="0" xfId="0">
      <alignment horizontal="left" vertical="center"/>
    </xf>
    <xf numFmtId="0" fontId="0" fillId="0" borderId="0" xfId="0" applyAlignment="1">
      <alignment horizontal="center" vertical="center"/>
    </xf>
    <xf numFmtId="0" fontId="14" fillId="0" borderId="0" xfId="26" applyFill="1" applyBorder="1">
      <alignment horizontal="left" vertical="center" wrapText="1" indent="2"/>
    </xf>
    <xf numFmtId="1" fontId="14" fillId="0" borderId="0" xfId="25" applyFill="1" applyBorder="1" applyProtection="1">
      <alignment horizontal="center" vertical="center"/>
    </xf>
    <xf numFmtId="166" fontId="0" fillId="0" borderId="0" xfId="0" applyNumberFormat="1" applyAlignment="1">
      <alignment horizontal="center" vertical="center"/>
    </xf>
    <xf numFmtId="0" fontId="0" fillId="0" borderId="0" xfId="0" applyAlignment="1">
      <alignment horizontal="left" vertical="center" indent="1"/>
    </xf>
    <xf numFmtId="0" fontId="3" fillId="0" borderId="0" xfId="0" applyFont="1" applyAlignment="1"/>
    <xf numFmtId="0" fontId="25" fillId="0" borderId="0" xfId="3" applyFill="1" applyProtection="1">
      <alignment horizontal="center" vertical="center"/>
    </xf>
    <xf numFmtId="0" fontId="0" fillId="0" borderId="1" xfId="0" applyBorder="1">
      <alignment horizontal="left" vertical="center"/>
    </xf>
    <xf numFmtId="0" fontId="30" fillId="0" borderId="2" xfId="1" applyBorder="1" applyAlignment="1" applyProtection="1">
      <alignment vertical="center"/>
    </xf>
    <xf numFmtId="0" fontId="0" fillId="0" borderId="2" xfId="0" applyBorder="1">
      <alignment horizontal="left" vertical="center"/>
    </xf>
    <xf numFmtId="0" fontId="0" fillId="0" borderId="0" xfId="0" applyAlignment="1">
      <alignment horizontal="left" vertical="top"/>
    </xf>
    <xf numFmtId="0" fontId="4" fillId="0" borderId="0" xfId="1" applyFont="1" applyAlignment="1" applyProtection="1">
      <alignment horizontal="left" indent="1"/>
    </xf>
    <xf numFmtId="0" fontId="0" fillId="0" borderId="0" xfId="0" applyAlignment="1">
      <alignment horizontal="left" wrapText="1" indent="1"/>
    </xf>
    <xf numFmtId="0" fontId="0" fillId="0" borderId="0" xfId="0" applyAlignment="1">
      <alignment horizontal="left" indent="1"/>
    </xf>
    <xf numFmtId="0" fontId="0" fillId="0" borderId="3" xfId="0" applyBorder="1" applyAlignment="1">
      <alignment horizontal="left" indent="1"/>
    </xf>
    <xf numFmtId="0" fontId="0" fillId="0" borderId="4" xfId="0" applyBorder="1">
      <alignment horizontal="left" vertical="center"/>
    </xf>
    <xf numFmtId="0" fontId="21" fillId="0" borderId="4" xfId="27" applyBorder="1">
      <alignment horizontal="center"/>
    </xf>
    <xf numFmtId="0" fontId="2" fillId="0" borderId="0" xfId="0" applyFont="1" applyAlignment="1">
      <alignment horizontal="center" vertical="center"/>
    </xf>
    <xf numFmtId="0" fontId="14" fillId="0" borderId="0" xfId="21" applyFill="1" applyBorder="1" applyAlignment="1" applyProtection="1">
      <alignment horizontal="left" vertical="center" indent="1"/>
    </xf>
    <xf numFmtId="0" fontId="1" fillId="0" borderId="0" xfId="0" applyFont="1" applyAlignment="1">
      <alignment horizontal="center" vertical="center"/>
    </xf>
    <xf numFmtId="0" fontId="14" fillId="21" borderId="0" xfId="21" applyFill="1" applyBorder="1" applyAlignment="1" applyProtection="1">
      <alignment horizontal="center" vertical="center"/>
    </xf>
    <xf numFmtId="0" fontId="6" fillId="0" borderId="0" xfId="3" applyFont="1" applyFill="1" applyAlignment="1" applyProtection="1">
      <alignment horizontal="left" vertical="top"/>
    </xf>
    <xf numFmtId="0" fontId="8" fillId="0" borderId="0" xfId="1" applyFont="1" applyAlignment="1" applyProtection="1">
      <alignment horizontal="left" indent="1"/>
    </xf>
    <xf numFmtId="0" fontId="9" fillId="0" borderId="0" xfId="3" applyFont="1" applyFill="1" applyAlignment="1" applyProtection="1">
      <alignment vertical="top"/>
    </xf>
    <xf numFmtId="0" fontId="9" fillId="0" borderId="0" xfId="3" applyFont="1" applyFill="1" applyAlignment="1" applyProtection="1">
      <alignment horizontal="left" vertical="top"/>
    </xf>
    <xf numFmtId="0" fontId="10" fillId="10" borderId="0" xfId="19" applyFont="1" applyAlignment="1" applyProtection="1">
      <alignment horizontal="center" vertical="center"/>
    </xf>
    <xf numFmtId="0" fontId="10" fillId="13" borderId="0" xfId="23" applyFont="1" applyAlignment="1" applyProtection="1">
      <alignment horizontal="center" vertical="center"/>
    </xf>
    <xf numFmtId="0" fontId="10" fillId="15" borderId="0" xfId="12" applyFont="1" applyAlignment="1" applyProtection="1">
      <alignment horizontal="center" vertical="center"/>
    </xf>
    <xf numFmtId="0" fontId="11" fillId="0" borderId="0" xfId="3" applyFont="1" applyFill="1" applyAlignment="1" applyProtection="1">
      <alignment horizontal="left" vertical="top"/>
    </xf>
    <xf numFmtId="0" fontId="12" fillId="0" borderId="0" xfId="3" applyFont="1" applyFill="1" applyAlignment="1" applyProtection="1">
      <alignment horizontal="left" vertical="top"/>
    </xf>
    <xf numFmtId="0" fontId="12" fillId="0" borderId="0" xfId="3" applyFont="1" applyFill="1" applyAlignment="1" applyProtection="1">
      <alignment vertical="top"/>
    </xf>
    <xf numFmtId="0" fontId="14" fillId="0" borderId="0" xfId="21" applyFill="1" applyAlignment="1" applyProtection="1">
      <alignment vertical="center"/>
    </xf>
    <xf numFmtId="0" fontId="25" fillId="0" borderId="0" xfId="3" applyFill="1" applyAlignment="1" applyProtection="1">
      <alignment horizontal="left" vertical="center"/>
    </xf>
    <xf numFmtId="0" fontId="14" fillId="0" borderId="0" xfId="21" applyFill="1" applyAlignment="1" applyProtection="1">
      <alignment horizontal="left" vertical="center" indent="1"/>
    </xf>
    <xf numFmtId="0" fontId="15" fillId="0" borderId="0" xfId="4" applyFill="1" applyAlignment="1" applyProtection="1">
      <alignment horizontal="left" vertical="center" wrapText="1" indent="1"/>
    </xf>
    <xf numFmtId="0" fontId="14" fillId="0" borderId="0" xfId="21" applyFill="1" applyAlignment="1" applyProtection="1">
      <alignment horizontal="left" vertical="center" textRotation="90" wrapText="1"/>
    </xf>
    <xf numFmtId="166" fontId="10" fillId="9" borderId="0" xfId="8" applyNumberFormat="1" applyFont="1" applyAlignment="1" applyProtection="1">
      <alignment horizontal="center" vertical="center"/>
    </xf>
    <xf numFmtId="166" fontId="10" fillId="21" borderId="0" xfId="24" applyNumberFormat="1" applyFont="1" applyFill="1" applyAlignment="1" applyProtection="1">
      <alignment horizontal="center" vertical="center"/>
    </xf>
    <xf numFmtId="166" fontId="5" fillId="21" borderId="0" xfId="24" applyNumberFormat="1" applyFont="1" applyFill="1" applyAlignment="1" applyProtection="1">
      <alignment horizontal="center" vertical="center"/>
    </xf>
    <xf numFmtId="0" fontId="14" fillId="0" borderId="0" xfId="26" applyFill="1" applyBorder="1" applyProtection="1">
      <alignment horizontal="left" vertical="center" wrapText="1" indent="2"/>
    </xf>
    <xf numFmtId="1" fontId="2" fillId="0" borderId="0" xfId="25" applyFont="1" applyProtection="1">
      <alignment horizontal="center" vertical="center"/>
    </xf>
  </cellXfs>
  <cellStyles count="49">
    <cellStyle name="20 % - Accent1" xfId="15" builtinId="30" customBuiltin="1"/>
    <cellStyle name="20 % - Accent2" xfId="44" builtinId="34" customBuiltin="1"/>
    <cellStyle name="20 % - Accent3" xfId="21" builtinId="38" customBuiltin="1"/>
    <cellStyle name="20 % - Accent4" xfId="7" builtinId="42" customBuiltin="1"/>
    <cellStyle name="20 % - Accent5" xfId="47" builtinId="46" customBuiltin="1"/>
    <cellStyle name="20 % - Accent6" xfId="11" builtinId="50" customBuiltin="1"/>
    <cellStyle name="40 % - Accent1" xfId="16" builtinId="31" customBuiltin="1"/>
    <cellStyle name="40 % - Accent2" xfId="19" builtinId="35" customBuiltin="1"/>
    <cellStyle name="40 % - Accent3" xfId="22" builtinId="39" customBuiltin="1"/>
    <cellStyle name="40 % - Accent4" xfId="8" builtinId="43" customBuiltin="1"/>
    <cellStyle name="40 % - Accent5" xfId="24" builtinId="47" customBuiltin="1"/>
    <cellStyle name="40 % - Accent6" xfId="12" builtinId="51" customBuiltin="1"/>
    <cellStyle name="60 % - Accent1" xfId="17" builtinId="32" customBuiltin="1"/>
    <cellStyle name="60 % - Accent2" xfId="45" builtinId="36" customBuiltin="1"/>
    <cellStyle name="60 % - Accent3" xfId="23" builtinId="40" customBuiltin="1"/>
    <cellStyle name="60 % - Accent4" xfId="9" builtinId="44" customBuiltin="1"/>
    <cellStyle name="60 % - Accent5" xfId="48" builtinId="48" customBuiltin="1"/>
    <cellStyle name="60 %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5" xfId="46" builtinId="45" customBuiltin="1"/>
    <cellStyle name="Accent6" xfId="10" builtinId="49" customBuiltin="1"/>
    <cellStyle name="Avertissement" xfId="41" builtinId="11" customBuiltin="1"/>
    <cellStyle name="Calcul" xfId="38" builtinId="22" customBuiltin="1"/>
    <cellStyle name="Cellule liée" xfId="39" builtinId="24" customBuiltin="1"/>
    <cellStyle name="Employé" xfId="26" xr:uid="{00000000-0005-0000-0000-000013000000}"/>
    <cellStyle name="Entrée" xfId="36" builtinId="20" customBuiltin="1"/>
    <cellStyle name="Étiquette" xfId="27" xr:uid="{00000000-0005-0000-0000-000018000000}"/>
    <cellStyle name="Insatisfaisant" xfId="34" builtinId="27" customBuiltin="1"/>
    <cellStyle name="Milliers" xfId="28" builtinId="3" customBuiltin="1"/>
    <cellStyle name="Milliers [0]" xfId="29" builtinId="6" customBuiltin="1"/>
    <cellStyle name="Monétaire" xfId="30" builtinId="4" customBuiltin="1"/>
    <cellStyle name="Monétaire [0]" xfId="31" builtinId="7" customBuiltin="1"/>
    <cellStyle name="Neutre" xfId="35" builtinId="28" customBuiltin="1"/>
    <cellStyle name="Normal" xfId="0" builtinId="0" customBuiltin="1"/>
    <cellStyle name="Note" xfId="42" builtinId="10" customBuiltin="1"/>
    <cellStyle name="Pourcentage" xfId="32" builtinId="5" customBuiltin="1"/>
    <cellStyle name="Satisfaisant" xfId="33" builtinId="26" customBuiltin="1"/>
    <cellStyle name="Sortie" xfId="37" builtinId="21" customBuiltin="1"/>
    <cellStyle name="Texte explicatif" xfId="43"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25" builtinId="25" customBuiltin="1"/>
    <cellStyle name="Vérification" xfId="40" builtinId="23" customBuiltin="1"/>
  </cellStyles>
  <dxfs count="916">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color theme="3"/>
      </font>
      <border>
        <vertical/>
        <horizontal/>
      </border>
    </dxf>
    <dxf>
      <font>
        <color theme="0"/>
      </font>
      <border>
        <vertical/>
        <horizontal/>
      </border>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fill>
        <patternFill patternType="none">
          <fgColor indexed="64"/>
          <bgColor indexed="65"/>
        </patternFill>
      </fill>
      <protection locked="1" hidden="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numFmt numFmtId="166" formatCode="0;0;"/>
      <alignment horizontal="center" vertical="center" textRotation="0" wrapText="0" indent="0" justifyLastLine="0" shrinkToFit="0" readingOrder="0"/>
    </dxf>
    <dxf>
      <alignment horizontal="left" vertical="center" textRotation="0" wrapText="0" indent="1"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ill>
        <patternFill patternType="none">
          <fgColor indexed="64"/>
          <bgColor indexed="65"/>
        </patternFill>
      </fill>
    </dxf>
    <dxf>
      <protection locked="1" hidden="0"/>
    </dxf>
    <dxf>
      <protection locked="1" hidden="0"/>
    </dxf>
    <dxf>
      <alignment horizontal="center" vertical="center" textRotation="0" wrapText="0" indent="0" justifyLastLine="0" shrinkToFit="0" readingOrder="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alignment horizontal="center" vertical="center" textRotation="0" wrapText="0" indent="0" justifyLastLine="0" shrinkToFit="0" readingOrder="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font>
        <b val="0"/>
        <i val="0"/>
        <strike val="0"/>
        <outline val="0"/>
        <shadow val="0"/>
        <u val="none"/>
        <vertAlign val="baseline"/>
        <sz val="11"/>
        <color theme="0"/>
        <name val="Calibri"/>
        <family val="2"/>
        <scheme val="minor"/>
      </font>
      <protection locked="1" hidden="0"/>
    </dxf>
    <dxf>
      <protection locked="1" hidden="0"/>
    </dxf>
    <dxf>
      <protection locked="1" hidden="0"/>
    </dxf>
    <dxf>
      <protection locked="1" hidden="0"/>
    </dxf>
    <dxf>
      <protection locked="1" hidden="0"/>
    </dxf>
    <dxf>
      <protection locked="1" hidden="0"/>
    </dxf>
    <dxf>
      <alignment horizontal="center" vertical="center" textRotation="0" wrapText="0" indent="0" justifyLastLine="0" shrinkToFit="0" readingOrder="0"/>
    </dxf>
    <dxf>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5" tint="0.399945066682943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top style="thick">
          <color theme="5" tint="0.59996337778862885"/>
        </top>
        <bottom style="thick">
          <color theme="5" tint="0.59996337778862885"/>
        </bottom>
        <vertical style="thin">
          <color theme="0"/>
        </vertical>
        <horizontal style="thick">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b/>
        <i val="0"/>
        <color theme="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theme="1"/>
      </font>
      <fill>
        <patternFill patternType="none">
          <bgColor auto="1"/>
        </patternFill>
      </fill>
      <border>
        <left/>
        <right/>
        <top style="thin">
          <color theme="5" tint="0.59996337778862885"/>
        </top>
        <bottom style="thin">
          <color theme="5" tint="0.59996337778862885"/>
        </bottom>
        <vertical/>
        <horizontal style="thin">
          <color theme="5" tint="0.59996337778862885"/>
        </horizontal>
      </border>
    </dxf>
    <dxf>
      <font>
        <color theme="1"/>
      </font>
      <fill>
        <patternFill>
          <bgColor theme="5" tint="0.39994506668294322"/>
        </patternFill>
      </fill>
      <border diagonalUp="0" diagonalDown="0">
        <left style="thin">
          <color theme="0"/>
        </left>
        <right style="thin">
          <color theme="0"/>
        </right>
        <top style="thick">
          <color theme="0"/>
        </top>
        <bottom style="thick">
          <color theme="5"/>
        </bottom>
        <vertical style="thick">
          <color theme="0"/>
        </vertical>
        <horizontal/>
      </border>
    </dxf>
    <dxf>
      <font>
        <color theme="0"/>
      </font>
      <fill>
        <patternFill>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theme="0"/>
      </font>
      <border diagonalUp="0" diagonalDown="0">
        <left/>
        <right/>
        <top/>
        <bottom style="thick">
          <color theme="0"/>
        </bottom>
        <vertical style="thick">
          <color theme="0"/>
        </vertical>
        <horizontal style="thick">
          <color theme="0"/>
        </horizontal>
      </border>
    </dxf>
    <dxf>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theme="1"/>
      </font>
      <fill>
        <patternFill patternType="solid">
          <fgColor theme="5" tint="0.39994506668294322"/>
          <bgColor theme="5" tint="0.39991454817346722"/>
        </patternFill>
      </fill>
      <border diagonalUp="0" diagonalDown="0">
        <left/>
        <right/>
        <top style="thin">
          <color theme="5" tint="0.59996337778862885"/>
        </top>
        <bottom style="thick">
          <color theme="5"/>
        </bottom>
        <vertical style="thick">
          <color theme="0"/>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ont>
        <color auto="1"/>
      </font>
      <fill>
        <patternFill patternType="none">
          <bgColor auto="1"/>
        </patternFill>
      </fill>
      <border diagonalUp="0" diagonalDown="0">
        <left/>
        <right/>
        <top style="thin">
          <color theme="5" tint="0.59996337778862885"/>
        </top>
        <bottom style="thin">
          <color theme="5" tint="0.59996337778862885"/>
        </bottom>
        <vertical/>
        <horizontal style="thin">
          <color theme="5" tint="0.59996337778862885"/>
        </horizontal>
      </border>
    </dxf>
    <dxf>
      <fill>
        <patternFill>
          <bgColor theme="5" tint="0.79998168889431442"/>
        </patternFill>
      </fill>
      <border>
        <top style="thick">
          <color theme="0"/>
        </top>
        <bottom style="thick">
          <color theme="0"/>
        </bottom>
        <horizontal style="thick">
          <color theme="0"/>
        </horizontal>
      </border>
    </dxf>
    <dxf>
      <fill>
        <patternFill patternType="none">
          <fgColor auto="1"/>
          <bgColor auto="1"/>
        </patternFill>
      </fill>
      <border>
        <top style="thick">
          <color theme="0"/>
        </top>
        <bottom style="thick">
          <color theme="0"/>
        </bottom>
        <horizontal style="thick">
          <color theme="0"/>
        </horizontal>
      </border>
    </dxf>
    <dxf>
      <font>
        <color auto="1"/>
      </font>
      <fill>
        <patternFill>
          <fgColor theme="5" tint="0.39994506668294322"/>
          <bgColor theme="5" tint="0.39991454817346722"/>
        </patternFill>
      </fill>
      <border diagonalUp="0" diagonalDown="0">
        <left style="thin">
          <color theme="0"/>
        </left>
        <right style="thin">
          <color theme="0"/>
        </right>
        <top style="thin">
          <color theme="5" tint="0.59996337778862885"/>
        </top>
        <bottom style="thick">
          <color theme="5"/>
        </bottom>
        <vertical style="thick">
          <color theme="0"/>
        </vertical>
        <horizontal style="thin">
          <color theme="5" tint="0.59996337778862885"/>
        </horizontal>
      </border>
    </dxf>
    <dxf>
      <font>
        <color theme="0"/>
      </font>
      <fill>
        <patternFill>
          <fgColor theme="5" tint="-0.24994659260841701"/>
          <bgColor theme="5" tint="-0.24994659260841701"/>
        </patternFill>
      </fill>
      <border>
        <top style="thin">
          <color theme="5" tint="0.59996337778862885"/>
        </top>
        <bottom style="thin">
          <color theme="5" tint="0.59996337778862885"/>
        </bottom>
        <horizontal style="thin">
          <color theme="5" tint="0.59996337778862885"/>
        </horizontal>
      </border>
    </dxf>
    <dxf>
      <font>
        <b/>
        <i val="0"/>
        <color auto="1"/>
      </font>
      <border diagonalUp="0" diagonalDown="0">
        <left style="thin">
          <color theme="0"/>
        </left>
        <right/>
        <top style="thin">
          <color theme="0"/>
        </top>
        <bottom style="thin">
          <color theme="0"/>
        </bottom>
        <vertical style="thick">
          <color theme="0"/>
        </vertical>
        <horizontal style="thick">
          <color theme="0"/>
        </horizontal>
      </border>
    </dxf>
  </dxfs>
  <tableStyles count="2" defaultPivotStyle="PivotStyleLight16">
    <tableStyle name="Tableau des absences des employés" pivot="0" count="9" xr9:uid="{00000000-0011-0000-FFFF-FFFF00000000}">
      <tableStyleElement type="wholeTable" dxfId="915"/>
      <tableStyleElement type="headerRow" dxfId="914"/>
      <tableStyleElement type="totalRow" dxfId="913"/>
      <tableStyleElement type="firstRowStripe" dxfId="912"/>
      <tableStyleElement type="secondRowStripe" dxfId="911"/>
      <tableStyleElement type="firstHeaderCell" dxfId="910"/>
      <tableStyleElement type="lastHeaderCell" dxfId="909"/>
      <tableStyleElement type="firstTotalCell" dxfId="908"/>
      <tableStyleElement type="lastTotalCell" dxfId="907"/>
    </tableStyle>
    <tableStyle name="Tableau des absences des employés 2" pivot="0" count="13" xr9:uid="{3374F2B5-EC6B-E245-A90B-F84953DFCF99}">
      <tableStyleElement type="wholeTable" dxfId="906"/>
      <tableStyleElement type="headerRow" dxfId="905"/>
      <tableStyleElement type="totalRow" dxfId="904"/>
      <tableStyleElement type="firstColumn" dxfId="903"/>
      <tableStyleElement type="lastColumn" dxfId="902"/>
      <tableStyleElement type="firstRowStripe" dxfId="901"/>
      <tableStyleElement type="secondRowStripe" dxfId="900"/>
      <tableStyleElement type="firstColumnStripe" dxfId="899"/>
      <tableStyleElement type="secondColumnStripe" dxfId="898"/>
      <tableStyleElement type="firstHeaderCell" dxfId="897"/>
      <tableStyleElement type="lastHeaderCell" dxfId="896"/>
      <tableStyleElement type="firstTotalCell" dxfId="895"/>
      <tableStyleElement type="lastTotalCell" dxfId="89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vier" displayName="Janvier" ref="B8:AH14" totalsRowCount="1" headerRowDxfId="893" dataDxfId="892" totalsRowDxfId="891">
  <autoFilter ref="B8:AH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000-000001000000}" name="Nom du réservataire" totalsRowFunction="custom" dataDxfId="594" totalsRowDxfId="562" dataCellStyle="Employé">
      <totalsRowFormula>NomMois&amp;" total"</totalsRowFormula>
    </tableColumn>
    <tableColumn id="2" xr3:uid="{00000000-0010-0000-0000-000002000000}" name="1" totalsRowFunction="custom" dataDxfId="593" totalsRowDxfId="561" dataCellStyle="Total">
      <totalsRowFormula>SUBTOTAL(103,Janvier!$C$9:$C$13)</totalsRowFormula>
    </tableColumn>
    <tableColumn id="3" xr3:uid="{00000000-0010-0000-0000-000003000000}" name="2" totalsRowFunction="custom" dataDxfId="592" totalsRowDxfId="560" dataCellStyle="Total">
      <totalsRowFormula>SUBTOTAL(103,Janvier!$D$9:$D$13)</totalsRowFormula>
    </tableColumn>
    <tableColumn id="4" xr3:uid="{00000000-0010-0000-0000-000004000000}" name="3" totalsRowFunction="custom" dataDxfId="591" totalsRowDxfId="559" dataCellStyle="Total">
      <totalsRowFormula>SUBTOTAL(103,Janvier!$E$9:$E$13)</totalsRowFormula>
    </tableColumn>
    <tableColumn id="5" xr3:uid="{00000000-0010-0000-0000-000005000000}" name="4" totalsRowFunction="custom" dataDxfId="590" totalsRowDxfId="558" dataCellStyle="Total">
      <totalsRowFormula>SUBTOTAL(103,Janvier!$F$9:$F$13)</totalsRowFormula>
    </tableColumn>
    <tableColumn id="6" xr3:uid="{00000000-0010-0000-0000-000006000000}" name="5" totalsRowFunction="custom" totalsRowDxfId="557" dataCellStyle="Total">
      <totalsRowFormula>SUBTOTAL(103,Janvier!$G$9:$G$13)</totalsRowFormula>
    </tableColumn>
    <tableColumn id="7" xr3:uid="{00000000-0010-0000-0000-000007000000}" name="6" totalsRowFunction="custom" dataDxfId="589" totalsRowDxfId="556" dataCellStyle="Total">
      <totalsRowFormula>SUBTOTAL(103,Janvier!$H$9:$H$13)</totalsRowFormula>
    </tableColumn>
    <tableColumn id="8" xr3:uid="{00000000-0010-0000-0000-000008000000}" name="7" totalsRowFunction="custom" dataDxfId="588" totalsRowDxfId="555" dataCellStyle="Total">
      <totalsRowFormula>SUBTOTAL(103,Janvier!$I$9:$I$13)</totalsRowFormula>
    </tableColumn>
    <tableColumn id="9" xr3:uid="{00000000-0010-0000-0000-000009000000}" name="8" totalsRowFunction="custom" dataDxfId="587" totalsRowDxfId="554" dataCellStyle="Total">
      <totalsRowFormula>SUBTOTAL(103,Janvier!$J$9:$J$13)</totalsRowFormula>
    </tableColumn>
    <tableColumn id="10" xr3:uid="{00000000-0010-0000-0000-00000A000000}" name="9" totalsRowFunction="custom" dataDxfId="586" totalsRowDxfId="553" dataCellStyle="Total">
      <totalsRowFormula>SUBTOTAL(103,Janvier!$K$9:$K$13)</totalsRowFormula>
    </tableColumn>
    <tableColumn id="11" xr3:uid="{00000000-0010-0000-0000-00000B000000}" name="10" totalsRowFunction="custom" dataDxfId="585" totalsRowDxfId="552" dataCellStyle="Total">
      <totalsRowFormula>SUBTOTAL(103,Janvier!$L$9:$L$13)</totalsRowFormula>
    </tableColumn>
    <tableColumn id="12" xr3:uid="{00000000-0010-0000-0000-00000C000000}" name="11" totalsRowFunction="custom" dataDxfId="584" totalsRowDxfId="551" dataCellStyle="Total">
      <totalsRowFormula>SUBTOTAL(103,Janvier!$M$9:$M$13)</totalsRowFormula>
    </tableColumn>
    <tableColumn id="13" xr3:uid="{00000000-0010-0000-0000-00000D000000}" name="12" totalsRowFunction="custom" dataDxfId="583" totalsRowDxfId="550" dataCellStyle="Total">
      <totalsRowFormula>SUBTOTAL(103,Janvier!$N$9:$N$13)</totalsRowFormula>
    </tableColumn>
    <tableColumn id="14" xr3:uid="{00000000-0010-0000-0000-00000E000000}" name="13" totalsRowFunction="custom" dataDxfId="582" totalsRowDxfId="549" dataCellStyle="Total">
      <totalsRowFormula>SUBTOTAL(103,Janvier!$O$9:$O$13)</totalsRowFormula>
    </tableColumn>
    <tableColumn id="15" xr3:uid="{00000000-0010-0000-0000-00000F000000}" name="14" totalsRowFunction="custom" dataDxfId="581" totalsRowDxfId="548" dataCellStyle="Total">
      <totalsRowFormula>SUBTOTAL(103,Janvier!$P$9:$P$13)</totalsRowFormula>
    </tableColumn>
    <tableColumn id="16" xr3:uid="{00000000-0010-0000-0000-000010000000}" name="15" totalsRowFunction="custom" dataDxfId="580" totalsRowDxfId="547" dataCellStyle="Total">
      <totalsRowFormula>SUBTOTAL(103,Janvier!$Q$9:$Q$13)</totalsRowFormula>
    </tableColumn>
    <tableColumn id="17" xr3:uid="{00000000-0010-0000-0000-000011000000}" name="16" totalsRowFunction="custom" dataDxfId="579" totalsRowDxfId="546" dataCellStyle="Total">
      <totalsRowFormula>SUBTOTAL(103,Janvier!$R$9:$R$13)</totalsRowFormula>
    </tableColumn>
    <tableColumn id="18" xr3:uid="{00000000-0010-0000-0000-000012000000}" name="17" totalsRowFunction="custom" dataDxfId="578" totalsRowDxfId="545" dataCellStyle="Total">
      <totalsRowFormula>SUBTOTAL(103,Janvier!$S$9:$S$13)</totalsRowFormula>
    </tableColumn>
    <tableColumn id="19" xr3:uid="{00000000-0010-0000-0000-000013000000}" name="18" totalsRowFunction="custom" dataDxfId="577" totalsRowDxfId="544" dataCellStyle="Total">
      <totalsRowFormula>SUBTOTAL(103,Janvier!$T$9:$T$13)</totalsRowFormula>
    </tableColumn>
    <tableColumn id="20" xr3:uid="{00000000-0010-0000-0000-000014000000}" name="19" totalsRowFunction="custom" dataDxfId="576" totalsRowDxfId="543" dataCellStyle="Total">
      <totalsRowFormula>SUBTOTAL(103,Janvier!$U$9:$U$13)</totalsRowFormula>
    </tableColumn>
    <tableColumn id="21" xr3:uid="{00000000-0010-0000-0000-000015000000}" name="20" totalsRowFunction="custom" dataDxfId="575" totalsRowDxfId="542" dataCellStyle="Total">
      <totalsRowFormula>SUBTOTAL(103,Janvier!$V$9:$V$13)</totalsRowFormula>
    </tableColumn>
    <tableColumn id="22" xr3:uid="{00000000-0010-0000-0000-000016000000}" name="21" totalsRowFunction="custom" dataDxfId="574" totalsRowDxfId="541" dataCellStyle="Total">
      <totalsRowFormula>SUBTOTAL(103,Janvier!$W$9:$W$13)</totalsRowFormula>
    </tableColumn>
    <tableColumn id="23" xr3:uid="{00000000-0010-0000-0000-000017000000}" name="22" totalsRowFunction="custom" dataDxfId="573" totalsRowDxfId="540" dataCellStyle="Total">
      <totalsRowFormula>SUBTOTAL(103,Janvier!$X$9:$X$13)</totalsRowFormula>
    </tableColumn>
    <tableColumn id="24" xr3:uid="{00000000-0010-0000-0000-000018000000}" name="23" totalsRowFunction="custom" dataDxfId="572" totalsRowDxfId="539" dataCellStyle="Total">
      <totalsRowFormula>SUBTOTAL(103,Janvier!$Y$9:$Y$13)</totalsRowFormula>
    </tableColumn>
    <tableColumn id="25" xr3:uid="{00000000-0010-0000-0000-000019000000}" name="24" totalsRowFunction="custom" dataDxfId="571" totalsRowDxfId="538" dataCellStyle="Total">
      <totalsRowFormula>SUBTOTAL(103,Janvier!$Z$9:$Z$13)</totalsRowFormula>
    </tableColumn>
    <tableColumn id="26" xr3:uid="{00000000-0010-0000-0000-00001A000000}" name="25" totalsRowFunction="custom" dataDxfId="570" totalsRowDxfId="537" dataCellStyle="Total">
      <totalsRowFormula>SUBTOTAL(103,Janvier!$AA$9:$AA$13)</totalsRowFormula>
    </tableColumn>
    <tableColumn id="27" xr3:uid="{00000000-0010-0000-0000-00001B000000}" name="26" totalsRowFunction="custom" dataDxfId="569" totalsRowDxfId="536" dataCellStyle="Total">
      <totalsRowFormula>SUBTOTAL(103,Janvier!$AB$9:$AB$13)</totalsRowFormula>
    </tableColumn>
    <tableColumn id="28" xr3:uid="{00000000-0010-0000-0000-00001C000000}" name="27" totalsRowFunction="custom" dataDxfId="568" totalsRowDxfId="535" dataCellStyle="Total">
      <totalsRowFormula>SUBTOTAL(103,Janvier!$AC$9:$AC$13)</totalsRowFormula>
    </tableColumn>
    <tableColumn id="29" xr3:uid="{00000000-0010-0000-0000-00001D000000}" name="28" totalsRowFunction="custom" dataDxfId="567" totalsRowDxfId="534" dataCellStyle="Total">
      <totalsRowFormula>SUBTOTAL(103,Janvier!$AD$9:$AD$13)</totalsRowFormula>
    </tableColumn>
    <tableColumn id="30" xr3:uid="{00000000-0010-0000-0000-00001E000000}" name="29" totalsRowFunction="custom" dataDxfId="566" totalsRowDxfId="533" dataCellStyle="Total">
      <totalsRowFormula>SUBTOTAL(103,Janvier!$AE$9:$AE$13)</totalsRowFormula>
    </tableColumn>
    <tableColumn id="31" xr3:uid="{00000000-0010-0000-0000-00001F000000}" name="30" totalsRowFunction="custom" dataDxfId="565" totalsRowDxfId="532" dataCellStyle="Total">
      <totalsRowFormula>SUBTOTAL(103,Janvier!$AF$9:$AF$13)</totalsRowFormula>
    </tableColumn>
    <tableColumn id="32" xr3:uid="{00000000-0010-0000-0000-000020000000}" name="31" totalsRowFunction="custom" dataDxfId="564" totalsRowDxfId="531" dataCellStyle="Total">
      <totalsRowFormula>SUBTOTAL(103,Janvier!$AG$9:$AG$13)</totalsRowFormula>
    </tableColumn>
    <tableColumn id="33" xr3:uid="{00000000-0010-0000-0000-000021000000}" name="Total des jours" totalsRowFunction="sum" dataDxfId="563" totalsRowDxfId="530" dataCellStyle="Total">
      <calculatedColumnFormula>COUNTA(Janvier!$C9:$AG9)</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Octobre" displayName="Octobre" ref="B8:AH14" totalsRowCount="1" headerRowDxfId="636" dataDxfId="635" totalsRowDxfId="634">
  <tableColumns count="33">
    <tableColumn id="1" xr3:uid="{00000000-0010-0000-0900-000001000000}" name="Nom du réservataire" totalsRowFunction="custom" dataDxfId="633" totalsRowDxfId="65" dataCellStyle="Employé">
      <totalsRowFormula>NomMois&amp;" Total"</totalsRowFormula>
    </tableColumn>
    <tableColumn id="2" xr3:uid="{00000000-0010-0000-0900-000002000000}" name="1" totalsRowFunction="count" dataDxfId="632" totalsRowDxfId="64"/>
    <tableColumn id="3" xr3:uid="{00000000-0010-0000-0900-000003000000}" name="2" totalsRowFunction="count" dataDxfId="631" totalsRowDxfId="63"/>
    <tableColumn id="4" xr3:uid="{00000000-0010-0000-0900-000004000000}" name="3" totalsRowFunction="count" dataDxfId="630" totalsRowDxfId="62"/>
    <tableColumn id="5" xr3:uid="{00000000-0010-0000-0900-000005000000}" name="4" totalsRowFunction="count" dataDxfId="629" totalsRowDxfId="61"/>
    <tableColumn id="6" xr3:uid="{00000000-0010-0000-0900-000006000000}" name="5" totalsRowFunction="count" dataDxfId="628" totalsRowDxfId="60"/>
    <tableColumn id="7" xr3:uid="{00000000-0010-0000-0900-000007000000}" name="6" totalsRowFunction="count" dataDxfId="627" totalsRowDxfId="59"/>
    <tableColumn id="8" xr3:uid="{00000000-0010-0000-0900-000008000000}" name="7" totalsRowFunction="count" dataDxfId="626" totalsRowDxfId="58"/>
    <tableColumn id="9" xr3:uid="{00000000-0010-0000-0900-000009000000}" name="8" totalsRowFunction="count" dataDxfId="625" totalsRowDxfId="57"/>
    <tableColumn id="10" xr3:uid="{00000000-0010-0000-0900-00000A000000}" name="9" totalsRowFunction="count" dataDxfId="624" totalsRowDxfId="56"/>
    <tableColumn id="11" xr3:uid="{00000000-0010-0000-0900-00000B000000}" name="10" totalsRowFunction="count" dataDxfId="623" totalsRowDxfId="55"/>
    <tableColumn id="12" xr3:uid="{00000000-0010-0000-0900-00000C000000}" name="11" totalsRowFunction="count" dataDxfId="622" totalsRowDxfId="54"/>
    <tableColumn id="13" xr3:uid="{00000000-0010-0000-0900-00000D000000}" name="12" totalsRowFunction="count" dataDxfId="621" totalsRowDxfId="53"/>
    <tableColumn id="14" xr3:uid="{00000000-0010-0000-0900-00000E000000}" name="13" totalsRowFunction="count" dataDxfId="620" totalsRowDxfId="52"/>
    <tableColumn id="15" xr3:uid="{00000000-0010-0000-0900-00000F000000}" name="14" totalsRowFunction="count" dataDxfId="619" totalsRowDxfId="51"/>
    <tableColumn id="16" xr3:uid="{00000000-0010-0000-0900-000010000000}" name="15" totalsRowFunction="count" dataDxfId="618" totalsRowDxfId="50"/>
    <tableColumn id="17" xr3:uid="{00000000-0010-0000-0900-000011000000}" name="16" totalsRowFunction="count" dataDxfId="617" totalsRowDxfId="49"/>
    <tableColumn id="18" xr3:uid="{00000000-0010-0000-0900-000012000000}" name="17" totalsRowFunction="count" dataDxfId="616" totalsRowDxfId="48"/>
    <tableColumn id="19" xr3:uid="{00000000-0010-0000-0900-000013000000}" name="18" totalsRowFunction="count" dataDxfId="615" totalsRowDxfId="47"/>
    <tableColumn id="20" xr3:uid="{00000000-0010-0000-0900-000014000000}" name="19" totalsRowFunction="count" dataDxfId="614" totalsRowDxfId="46"/>
    <tableColumn id="21" xr3:uid="{00000000-0010-0000-0900-000015000000}" name="20" totalsRowFunction="count" dataDxfId="613" totalsRowDxfId="45"/>
    <tableColumn id="22" xr3:uid="{00000000-0010-0000-0900-000016000000}" name="21" totalsRowFunction="count" dataDxfId="612" totalsRowDxfId="44"/>
    <tableColumn id="23" xr3:uid="{00000000-0010-0000-0900-000017000000}" name="22" totalsRowFunction="count" dataDxfId="611" totalsRowDxfId="43"/>
    <tableColumn id="24" xr3:uid="{00000000-0010-0000-0900-000018000000}" name="23" totalsRowFunction="count" dataDxfId="610" totalsRowDxfId="42"/>
    <tableColumn id="25" xr3:uid="{00000000-0010-0000-0900-000019000000}" name="24" totalsRowFunction="count" dataDxfId="609" totalsRowDxfId="41"/>
    <tableColumn id="26" xr3:uid="{00000000-0010-0000-0900-00001A000000}" name="25" totalsRowFunction="count" dataDxfId="608" totalsRowDxfId="40"/>
    <tableColumn id="27" xr3:uid="{00000000-0010-0000-0900-00001B000000}" name="26" totalsRowFunction="count" dataDxfId="607" totalsRowDxfId="39"/>
    <tableColumn id="28" xr3:uid="{00000000-0010-0000-0900-00001C000000}" name="27" totalsRowFunction="count" dataDxfId="606" totalsRowDxfId="38"/>
    <tableColumn id="29" xr3:uid="{00000000-0010-0000-0900-00001D000000}" name="28" totalsRowFunction="count" dataDxfId="605" totalsRowDxfId="37"/>
    <tableColumn id="30" xr3:uid="{00000000-0010-0000-0900-00001E000000}" name="29" totalsRowFunction="count" dataDxfId="604" totalsRowDxfId="36"/>
    <tableColumn id="31" xr3:uid="{00000000-0010-0000-0900-00001F000000}" name="30" totalsRowFunction="sum" dataDxfId="603" totalsRowDxfId="35"/>
    <tableColumn id="32" xr3:uid="{00000000-0010-0000-0900-000020000000}" name="31" totalsRowFunction="sum" dataDxfId="602" totalsRowDxfId="34" dataCellStyle="Total"/>
    <tableColumn id="33" xr3:uid="{00000000-0010-0000-0900-000021000000}" name="Total des jours" totalsRowFunction="sum" dataDxfId="601" totalsRowDxfId="33" dataCellStyle="Total">
      <calculatedColumnFormula>COUNTA(Octobre[[#This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Novembre" displayName="Novembre" ref="B8:AH14" totalsRowCount="1" headerRowDxfId="600" dataDxfId="599" totalsRowDxfId="598">
  <tableColumns count="33">
    <tableColumn id="1" xr3:uid="{00000000-0010-0000-0A00-000001000000}" name="Nom du réservataire" totalsRowFunction="custom" dataDxfId="429" totalsRowDxfId="32" dataCellStyle="Employé">
      <totalsRowFormula>NomMois&amp;" Total"</totalsRowFormula>
    </tableColumn>
    <tableColumn id="2" xr3:uid="{00000000-0010-0000-0A00-000002000000}" name="1" totalsRowFunction="count" dataDxfId="428" totalsRowDxfId="31"/>
    <tableColumn id="3" xr3:uid="{00000000-0010-0000-0A00-000003000000}" name="2" totalsRowFunction="count" dataDxfId="427" totalsRowDxfId="30"/>
    <tableColumn id="4" xr3:uid="{00000000-0010-0000-0A00-000004000000}" name="3" totalsRowFunction="count" dataDxfId="426" totalsRowDxfId="29"/>
    <tableColumn id="5" xr3:uid="{00000000-0010-0000-0A00-000005000000}" name="4" totalsRowFunction="count" dataDxfId="425" totalsRowDxfId="28"/>
    <tableColumn id="6" xr3:uid="{00000000-0010-0000-0A00-000006000000}" name="5" totalsRowFunction="count" dataDxfId="424" totalsRowDxfId="27"/>
    <tableColumn id="7" xr3:uid="{00000000-0010-0000-0A00-000007000000}" name="6" totalsRowFunction="count" dataDxfId="423" totalsRowDxfId="26"/>
    <tableColumn id="8" xr3:uid="{00000000-0010-0000-0A00-000008000000}" name="7" totalsRowFunction="count" dataDxfId="422" totalsRowDxfId="25"/>
    <tableColumn id="9" xr3:uid="{00000000-0010-0000-0A00-000009000000}" name="8" totalsRowFunction="count" dataDxfId="421" totalsRowDxfId="24"/>
    <tableColumn id="10" xr3:uid="{00000000-0010-0000-0A00-00000A000000}" name="9" totalsRowFunction="count" dataDxfId="420" totalsRowDxfId="23"/>
    <tableColumn id="11" xr3:uid="{00000000-0010-0000-0A00-00000B000000}" name="10" totalsRowFunction="count" dataDxfId="419" totalsRowDxfId="22"/>
    <tableColumn id="12" xr3:uid="{00000000-0010-0000-0A00-00000C000000}" name="11" totalsRowFunction="count" dataDxfId="418" totalsRowDxfId="21"/>
    <tableColumn id="13" xr3:uid="{00000000-0010-0000-0A00-00000D000000}" name="12" totalsRowFunction="count" dataDxfId="417" totalsRowDxfId="20"/>
    <tableColumn id="14" xr3:uid="{00000000-0010-0000-0A00-00000E000000}" name="13" totalsRowFunction="count" dataDxfId="416" totalsRowDxfId="19"/>
    <tableColumn id="15" xr3:uid="{00000000-0010-0000-0A00-00000F000000}" name="14" totalsRowFunction="count" dataDxfId="415" totalsRowDxfId="18"/>
    <tableColumn id="16" xr3:uid="{00000000-0010-0000-0A00-000010000000}" name="15" totalsRowFunction="count" dataDxfId="414" totalsRowDxfId="17"/>
    <tableColumn id="17" xr3:uid="{00000000-0010-0000-0A00-000011000000}" name="16" totalsRowFunction="count" dataDxfId="413" totalsRowDxfId="16"/>
    <tableColumn id="18" xr3:uid="{00000000-0010-0000-0A00-000012000000}" name="17" totalsRowFunction="count" dataDxfId="412" totalsRowDxfId="15"/>
    <tableColumn id="19" xr3:uid="{00000000-0010-0000-0A00-000013000000}" name="18" totalsRowFunction="count" dataDxfId="411" totalsRowDxfId="14"/>
    <tableColumn id="20" xr3:uid="{00000000-0010-0000-0A00-000014000000}" name="19" totalsRowFunction="count" dataDxfId="410" totalsRowDxfId="13"/>
    <tableColumn id="21" xr3:uid="{00000000-0010-0000-0A00-000015000000}" name="20" totalsRowFunction="count" dataDxfId="409" totalsRowDxfId="12"/>
    <tableColumn id="22" xr3:uid="{00000000-0010-0000-0A00-000016000000}" name="21" totalsRowFunction="count" dataDxfId="408" totalsRowDxfId="11"/>
    <tableColumn id="23" xr3:uid="{00000000-0010-0000-0A00-000017000000}" name="22" totalsRowFunction="count" dataDxfId="407" totalsRowDxfId="10"/>
    <tableColumn id="24" xr3:uid="{00000000-0010-0000-0A00-000018000000}" name="23" totalsRowFunction="count" dataDxfId="406" totalsRowDxfId="9"/>
    <tableColumn id="25" xr3:uid="{00000000-0010-0000-0A00-000019000000}" name="24" totalsRowFunction="count" dataDxfId="405" totalsRowDxfId="8"/>
    <tableColumn id="26" xr3:uid="{00000000-0010-0000-0A00-00001A000000}" name="25" totalsRowFunction="count" dataDxfId="404" totalsRowDxfId="7"/>
    <tableColumn id="27" xr3:uid="{00000000-0010-0000-0A00-00001B000000}" name="26" totalsRowFunction="count" dataDxfId="403" totalsRowDxfId="6"/>
    <tableColumn id="28" xr3:uid="{00000000-0010-0000-0A00-00001C000000}" name="27" totalsRowFunction="count" dataDxfId="402" totalsRowDxfId="5"/>
    <tableColumn id="29" xr3:uid="{00000000-0010-0000-0A00-00001D000000}" name="28" totalsRowFunction="count" dataDxfId="401" totalsRowDxfId="4"/>
    <tableColumn id="30" xr3:uid="{00000000-0010-0000-0A00-00001E000000}" name="29" totalsRowFunction="count" dataDxfId="400" totalsRowDxfId="3"/>
    <tableColumn id="31" xr3:uid="{00000000-0010-0000-0A00-00001F000000}" name="30" totalsRowFunction="sum" dataDxfId="399" totalsRowDxfId="2"/>
    <tableColumn id="32" xr3:uid="{00000000-0010-0000-0A00-000020000000}" name=" " totalsRowFunction="sum" dataDxfId="398" totalsRowDxfId="1" dataCellStyle="Total"/>
    <tableColumn id="33" xr3:uid="{00000000-0010-0000-0A00-000021000000}" name="Total des jours" totalsRowFunction="sum" dataDxfId="397" totalsRowDxfId="0" dataCellStyle="Total">
      <calculatedColumnFormula>COUNTA(Novembre[[#This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écembre" displayName="Décembre" ref="B8:AH14" totalsRowCount="1" headerRowDxfId="597" dataDxfId="596" totalsRowDxfId="595">
  <tableColumns count="33">
    <tableColumn id="1" xr3:uid="{00000000-0010-0000-0B00-000001000000}" name="Nom du réservataire" totalsRowFunction="custom" dataDxfId="396" totalsRowDxfId="363" dataCellStyle="Employé">
      <totalsRowFormula>NomMois&amp;" Total"</totalsRowFormula>
    </tableColumn>
    <tableColumn id="2" xr3:uid="{00000000-0010-0000-0B00-000002000000}" name="1" totalsRowFunction="count" dataDxfId="395" totalsRowDxfId="362"/>
    <tableColumn id="3" xr3:uid="{00000000-0010-0000-0B00-000003000000}" name="2" totalsRowFunction="count" dataDxfId="394" totalsRowDxfId="361"/>
    <tableColumn id="4" xr3:uid="{00000000-0010-0000-0B00-000004000000}" name="3" totalsRowFunction="count" dataDxfId="393" totalsRowDxfId="360"/>
    <tableColumn id="5" xr3:uid="{00000000-0010-0000-0B00-000005000000}" name="4" totalsRowFunction="count" dataDxfId="392" totalsRowDxfId="359"/>
    <tableColumn id="6" xr3:uid="{00000000-0010-0000-0B00-000006000000}" name="5" totalsRowFunction="count" dataDxfId="391" totalsRowDxfId="358"/>
    <tableColumn id="7" xr3:uid="{00000000-0010-0000-0B00-000007000000}" name="6" totalsRowFunction="count" dataDxfId="390" totalsRowDxfId="357"/>
    <tableColumn id="8" xr3:uid="{00000000-0010-0000-0B00-000008000000}" name="7" totalsRowFunction="count" dataDxfId="389" totalsRowDxfId="356"/>
    <tableColumn id="9" xr3:uid="{00000000-0010-0000-0B00-000009000000}" name="8" totalsRowFunction="count" dataDxfId="388" totalsRowDxfId="355"/>
    <tableColumn id="10" xr3:uid="{00000000-0010-0000-0B00-00000A000000}" name="9" totalsRowFunction="count" dataDxfId="387" totalsRowDxfId="354"/>
    <tableColumn id="11" xr3:uid="{00000000-0010-0000-0B00-00000B000000}" name="10" totalsRowFunction="count" dataDxfId="386" totalsRowDxfId="353"/>
    <tableColumn id="12" xr3:uid="{00000000-0010-0000-0B00-00000C000000}" name="11" totalsRowFunction="count" dataDxfId="385" totalsRowDxfId="352"/>
    <tableColumn id="13" xr3:uid="{00000000-0010-0000-0B00-00000D000000}" name="12" totalsRowFunction="count" dataDxfId="384" totalsRowDxfId="351"/>
    <tableColumn id="14" xr3:uid="{00000000-0010-0000-0B00-00000E000000}" name="13" totalsRowFunction="count" dataDxfId="383" totalsRowDxfId="350"/>
    <tableColumn id="15" xr3:uid="{00000000-0010-0000-0B00-00000F000000}" name="14" totalsRowFunction="count" dataDxfId="382" totalsRowDxfId="349"/>
    <tableColumn id="16" xr3:uid="{00000000-0010-0000-0B00-000010000000}" name="15" totalsRowFunction="count" dataDxfId="381" totalsRowDxfId="348"/>
    <tableColumn id="17" xr3:uid="{00000000-0010-0000-0B00-000011000000}" name="16" totalsRowFunction="count" dataDxfId="380" totalsRowDxfId="347"/>
    <tableColumn id="18" xr3:uid="{00000000-0010-0000-0B00-000012000000}" name="17" totalsRowFunction="count" dataDxfId="379" totalsRowDxfId="346"/>
    <tableColumn id="19" xr3:uid="{00000000-0010-0000-0B00-000013000000}" name="18" totalsRowFunction="count" dataDxfId="378" totalsRowDxfId="345"/>
    <tableColumn id="20" xr3:uid="{00000000-0010-0000-0B00-000014000000}" name="19" totalsRowFunction="count" dataDxfId="377" totalsRowDxfId="344"/>
    <tableColumn id="21" xr3:uid="{00000000-0010-0000-0B00-000015000000}" name="20" totalsRowFunction="count" dataDxfId="376" totalsRowDxfId="343"/>
    <tableColumn id="22" xr3:uid="{00000000-0010-0000-0B00-000016000000}" name="21" totalsRowFunction="count" dataDxfId="375" totalsRowDxfId="342"/>
    <tableColumn id="23" xr3:uid="{00000000-0010-0000-0B00-000017000000}" name="22" totalsRowFunction="count" dataDxfId="374" totalsRowDxfId="341"/>
    <tableColumn id="24" xr3:uid="{00000000-0010-0000-0B00-000018000000}" name="23" totalsRowFunction="count" dataDxfId="373" totalsRowDxfId="340"/>
    <tableColumn id="25" xr3:uid="{00000000-0010-0000-0B00-000019000000}" name="24" totalsRowFunction="count" dataDxfId="372" totalsRowDxfId="339"/>
    <tableColumn id="26" xr3:uid="{00000000-0010-0000-0B00-00001A000000}" name="25" totalsRowFunction="count" dataDxfId="371" totalsRowDxfId="338"/>
    <tableColumn id="27" xr3:uid="{00000000-0010-0000-0B00-00001B000000}" name="26" totalsRowFunction="count" dataDxfId="370" totalsRowDxfId="337"/>
    <tableColumn id="28" xr3:uid="{00000000-0010-0000-0B00-00001C000000}" name="27" totalsRowFunction="count" dataDxfId="369" totalsRowDxfId="336"/>
    <tableColumn id="29" xr3:uid="{00000000-0010-0000-0B00-00001D000000}" name="28" totalsRowFunction="count" dataDxfId="368" totalsRowDxfId="335"/>
    <tableColumn id="30" xr3:uid="{00000000-0010-0000-0B00-00001E000000}" name="29" totalsRowFunction="count" dataDxfId="367" totalsRowDxfId="334"/>
    <tableColumn id="31" xr3:uid="{00000000-0010-0000-0B00-00001F000000}" name="30" totalsRowFunction="sum" dataDxfId="366" totalsRowDxfId="333"/>
    <tableColumn id="32" xr3:uid="{00000000-0010-0000-0B00-000020000000}" name="31" totalsRowFunction="sum" dataDxfId="365" totalsRowDxfId="332" dataCellStyle="Total"/>
    <tableColumn id="33" xr3:uid="{00000000-0010-0000-0B00-000021000000}" name="Total des jours" totalsRowFunction="sum" dataDxfId="364" totalsRowDxfId="331" dataCellStyle="Total">
      <calculatedColumnFormula>COUNTA(Décembre[[#This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NomEmployé" displayName="NomEmployé" ref="B3:B8" totalsRowShown="0">
  <autoFilter ref="B3:B8" xr:uid="{00000000-0009-0000-0100-00000D000000}"/>
  <tableColumns count="1">
    <tableColumn id="1" xr3:uid="{00000000-0010-0000-0C00-000001000000}" name="Noms des employés" dataCellStyle="Employé"/>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dans ce tableau. Ces noms sont utilisés en tant qu’options dans la colonne B du calendrier des absences de chaque moi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évrier" displayName="Février" ref="B8:AH15" totalsRowCount="1" headerRowDxfId="890" dataDxfId="889" totalsRowDxfId="888">
  <tableColumns count="33">
    <tableColumn id="1" xr3:uid="{00000000-0010-0000-0100-000001000000}" name="Nom de l’employé" totalsRowFunction="custom" dataDxfId="529" totalsRowDxfId="263" dataCellStyle="Employé">
      <totalsRowFormula>NomMois&amp;" total"</totalsRowFormula>
    </tableColumn>
    <tableColumn id="2" xr3:uid="{00000000-0010-0000-0100-000002000000}" name="1" totalsRowFunction="count" dataDxfId="887" totalsRowDxfId="262" dataCellStyle="Total"/>
    <tableColumn id="3" xr3:uid="{00000000-0010-0000-0100-000003000000}" name="2" totalsRowFunction="count" dataDxfId="886" totalsRowDxfId="261" dataCellStyle="Total"/>
    <tableColumn id="4" xr3:uid="{00000000-0010-0000-0100-000004000000}" name="3" totalsRowFunction="count" dataDxfId="885" totalsRowDxfId="260" dataCellStyle="Total"/>
    <tableColumn id="5" xr3:uid="{00000000-0010-0000-0100-000005000000}" name="4" totalsRowFunction="count" dataDxfId="884" totalsRowDxfId="259" dataCellStyle="Total"/>
    <tableColumn id="6" xr3:uid="{00000000-0010-0000-0100-000006000000}" name="5" totalsRowFunction="count" dataDxfId="883" totalsRowDxfId="258" dataCellStyle="Total"/>
    <tableColumn id="7" xr3:uid="{00000000-0010-0000-0100-000007000000}" name="6" totalsRowFunction="count" dataDxfId="882" totalsRowDxfId="257" dataCellStyle="Total"/>
    <tableColumn id="8" xr3:uid="{00000000-0010-0000-0100-000008000000}" name="7" totalsRowFunction="count" dataDxfId="881" totalsRowDxfId="256" dataCellStyle="Total"/>
    <tableColumn id="9" xr3:uid="{00000000-0010-0000-0100-000009000000}" name="8" totalsRowFunction="count" dataDxfId="880" totalsRowDxfId="255" dataCellStyle="Total"/>
    <tableColumn id="10" xr3:uid="{00000000-0010-0000-0100-00000A000000}" name="9" totalsRowFunction="count" dataDxfId="879" totalsRowDxfId="254" dataCellStyle="Total"/>
    <tableColumn id="11" xr3:uid="{00000000-0010-0000-0100-00000B000000}" name="10" totalsRowFunction="count" dataDxfId="878" totalsRowDxfId="253" dataCellStyle="Total"/>
    <tableColumn id="12" xr3:uid="{00000000-0010-0000-0100-00000C000000}" name="11" totalsRowFunction="count" dataDxfId="877" totalsRowDxfId="252" dataCellStyle="Total"/>
    <tableColumn id="13" xr3:uid="{00000000-0010-0000-0100-00000D000000}" name="12" totalsRowFunction="count" dataDxfId="876" totalsRowDxfId="251" dataCellStyle="Total"/>
    <tableColumn id="14" xr3:uid="{00000000-0010-0000-0100-00000E000000}" name="13" totalsRowFunction="count" dataDxfId="875" totalsRowDxfId="250" dataCellStyle="Total"/>
    <tableColumn id="15" xr3:uid="{00000000-0010-0000-0100-00000F000000}" name="14" totalsRowFunction="count" dataDxfId="874" totalsRowDxfId="249" dataCellStyle="Total"/>
    <tableColumn id="16" xr3:uid="{00000000-0010-0000-0100-000010000000}" name="15" totalsRowFunction="count" dataDxfId="873" totalsRowDxfId="248" dataCellStyle="Total"/>
    <tableColumn id="17" xr3:uid="{00000000-0010-0000-0100-000011000000}" name="16" totalsRowFunction="count" dataDxfId="872" totalsRowDxfId="247" dataCellStyle="Total"/>
    <tableColumn id="18" xr3:uid="{00000000-0010-0000-0100-000012000000}" name="17" totalsRowFunction="count" dataDxfId="871" totalsRowDxfId="246" dataCellStyle="Total"/>
    <tableColumn id="19" xr3:uid="{00000000-0010-0000-0100-000013000000}" name="18" totalsRowFunction="count" dataDxfId="870" totalsRowDxfId="245" dataCellStyle="Total"/>
    <tableColumn id="20" xr3:uid="{00000000-0010-0000-0100-000014000000}" name="19" totalsRowFunction="count" dataDxfId="869" totalsRowDxfId="244" dataCellStyle="Total"/>
    <tableColumn id="21" xr3:uid="{00000000-0010-0000-0100-000015000000}" name="20" totalsRowFunction="count" dataDxfId="868" totalsRowDxfId="243" dataCellStyle="Total"/>
    <tableColumn id="22" xr3:uid="{00000000-0010-0000-0100-000016000000}" name="21" totalsRowFunction="count" dataDxfId="867" totalsRowDxfId="242" dataCellStyle="Total"/>
    <tableColumn id="23" xr3:uid="{00000000-0010-0000-0100-000017000000}" name="22" totalsRowFunction="count" dataDxfId="866" totalsRowDxfId="241" dataCellStyle="Total"/>
    <tableColumn id="24" xr3:uid="{00000000-0010-0000-0100-000018000000}" name="23" totalsRowFunction="count" dataDxfId="865" totalsRowDxfId="240" dataCellStyle="Total"/>
    <tableColumn id="25" xr3:uid="{00000000-0010-0000-0100-000019000000}" name="24" totalsRowFunction="count" dataDxfId="864" totalsRowDxfId="239" dataCellStyle="Total"/>
    <tableColumn id="26" xr3:uid="{00000000-0010-0000-0100-00001A000000}" name="25" totalsRowFunction="count" dataDxfId="863" totalsRowDxfId="238" dataCellStyle="Total"/>
    <tableColumn id="27" xr3:uid="{00000000-0010-0000-0100-00001B000000}" name="26" totalsRowFunction="count" dataDxfId="862" totalsRowDxfId="237" dataCellStyle="Total"/>
    <tableColumn id="28" xr3:uid="{00000000-0010-0000-0100-00001C000000}" name="27" totalsRowFunction="count" dataDxfId="861" totalsRowDxfId="236" dataCellStyle="Total"/>
    <tableColumn id="29" xr3:uid="{00000000-0010-0000-0100-00001D000000}" name="28" totalsRowFunction="count" dataDxfId="860" totalsRowDxfId="235" dataCellStyle="Total"/>
    <tableColumn id="30" xr3:uid="{00000000-0010-0000-0100-00001E000000}" name="29" totalsRowFunction="count" dataDxfId="859" totalsRowDxfId="234" dataCellStyle="Total"/>
    <tableColumn id="31" xr3:uid="{00000000-0010-0000-0100-00001F000000}" name=" " dataDxfId="858" totalsRowDxfId="233" dataCellStyle="Total"/>
    <tableColumn id="32" xr3:uid="{00000000-0010-0000-0100-000020000000}" name="  " dataDxfId="857" totalsRowDxfId="232" dataCellStyle="Total"/>
    <tableColumn id="33" xr3:uid="{00000000-0010-0000-0100-000021000000}" name="Total des jours" totalsRowFunction="sum" dataDxfId="856" totalsRowDxfId="231" dataCellStyle="Total">
      <calculatedColumnFormula>COUNTA(Février[[#This Row],[1]:[29]])</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Mars" displayName="Mars" ref="B8:AH14" totalsRowCount="1" headerRowDxfId="855" dataDxfId="854" totalsRowDxfId="853">
  <tableColumns count="33">
    <tableColumn id="1" xr3:uid="{00000000-0010-0000-0200-000001000000}" name="Nom du réservataire" totalsRowFunction="custom" dataDxfId="852" totalsRowDxfId="528" dataCellStyle="Employé">
      <totalsRowFormula>NomMois&amp;" Total"</totalsRowFormula>
    </tableColumn>
    <tableColumn id="2" xr3:uid="{00000000-0010-0000-0200-000002000000}" name="1" totalsRowFunction="count" dataDxfId="851" totalsRowDxfId="527"/>
    <tableColumn id="3" xr3:uid="{00000000-0010-0000-0200-000003000000}" name="2" totalsRowFunction="count" dataDxfId="850" totalsRowDxfId="526"/>
    <tableColumn id="4" xr3:uid="{00000000-0010-0000-0200-000004000000}" name="3" totalsRowFunction="count" dataDxfId="849" totalsRowDxfId="525"/>
    <tableColumn id="5" xr3:uid="{00000000-0010-0000-0200-000005000000}" name="4" totalsRowFunction="count" dataDxfId="848" totalsRowDxfId="524"/>
    <tableColumn id="6" xr3:uid="{00000000-0010-0000-0200-000006000000}" name="5" totalsRowFunction="count" dataDxfId="847" totalsRowDxfId="523"/>
    <tableColumn id="7" xr3:uid="{00000000-0010-0000-0200-000007000000}" name="6" totalsRowFunction="count" dataDxfId="846" totalsRowDxfId="522"/>
    <tableColumn id="8" xr3:uid="{00000000-0010-0000-0200-000008000000}" name="7" totalsRowFunction="count" dataDxfId="845" totalsRowDxfId="521"/>
    <tableColumn id="9" xr3:uid="{00000000-0010-0000-0200-000009000000}" name="8" totalsRowFunction="count" dataDxfId="844" totalsRowDxfId="520"/>
    <tableColumn id="10" xr3:uid="{00000000-0010-0000-0200-00000A000000}" name="9" totalsRowFunction="count" dataDxfId="843" totalsRowDxfId="519"/>
    <tableColumn id="11" xr3:uid="{00000000-0010-0000-0200-00000B000000}" name="10" totalsRowFunction="count" dataDxfId="842" totalsRowDxfId="518"/>
    <tableColumn id="12" xr3:uid="{00000000-0010-0000-0200-00000C000000}" name="11" totalsRowFunction="count" dataDxfId="841" totalsRowDxfId="517"/>
    <tableColumn id="13" xr3:uid="{00000000-0010-0000-0200-00000D000000}" name="12" totalsRowFunction="count" dataDxfId="840" totalsRowDxfId="516"/>
    <tableColumn id="14" xr3:uid="{00000000-0010-0000-0200-00000E000000}" name="13" totalsRowFunction="count" dataDxfId="839" totalsRowDxfId="515"/>
    <tableColumn id="15" xr3:uid="{00000000-0010-0000-0200-00000F000000}" name="14" totalsRowFunction="count" dataDxfId="838" totalsRowDxfId="514"/>
    <tableColumn id="16" xr3:uid="{00000000-0010-0000-0200-000010000000}" name="15" totalsRowFunction="count" dataDxfId="837" totalsRowDxfId="513"/>
    <tableColumn id="17" xr3:uid="{00000000-0010-0000-0200-000011000000}" name="16" totalsRowFunction="count" dataDxfId="836" totalsRowDxfId="512"/>
    <tableColumn id="18" xr3:uid="{00000000-0010-0000-0200-000012000000}" name="17" totalsRowFunction="count" dataDxfId="835" totalsRowDxfId="511"/>
    <tableColumn id="19" xr3:uid="{00000000-0010-0000-0200-000013000000}" name="18" totalsRowFunction="count" dataDxfId="834" totalsRowDxfId="510"/>
    <tableColumn id="20" xr3:uid="{00000000-0010-0000-0200-000014000000}" name="19" totalsRowFunction="count" dataDxfId="833" totalsRowDxfId="509"/>
    <tableColumn id="21" xr3:uid="{00000000-0010-0000-0200-000015000000}" name="20" totalsRowFunction="count" dataDxfId="832" totalsRowDxfId="508"/>
    <tableColumn id="22" xr3:uid="{00000000-0010-0000-0200-000016000000}" name="21" totalsRowFunction="count" dataDxfId="831" totalsRowDxfId="507"/>
    <tableColumn id="23" xr3:uid="{00000000-0010-0000-0200-000017000000}" name="22" totalsRowFunction="count" dataDxfId="830" totalsRowDxfId="506"/>
    <tableColumn id="24" xr3:uid="{00000000-0010-0000-0200-000018000000}" name="23" totalsRowFunction="count" dataDxfId="829" totalsRowDxfId="505"/>
    <tableColumn id="25" xr3:uid="{00000000-0010-0000-0200-000019000000}" name="24" totalsRowFunction="count" dataDxfId="828" totalsRowDxfId="504"/>
    <tableColumn id="26" xr3:uid="{00000000-0010-0000-0200-00001A000000}" name="25" totalsRowFunction="count" dataDxfId="827" totalsRowDxfId="503"/>
    <tableColumn id="27" xr3:uid="{00000000-0010-0000-0200-00001B000000}" name="26" totalsRowFunction="count" dataDxfId="826" totalsRowDxfId="502"/>
    <tableColumn id="28" xr3:uid="{00000000-0010-0000-0200-00001C000000}" name="27" totalsRowFunction="count" dataDxfId="825" totalsRowDxfId="501"/>
    <tableColumn id="29" xr3:uid="{00000000-0010-0000-0200-00001D000000}" name="28" totalsRowFunction="count" dataDxfId="824" totalsRowDxfId="500"/>
    <tableColumn id="30" xr3:uid="{00000000-0010-0000-0200-00001E000000}" name="29" totalsRowFunction="count" dataDxfId="823" totalsRowDxfId="499"/>
    <tableColumn id="31" xr3:uid="{00000000-0010-0000-0200-00001F000000}" name="30" totalsRowFunction="sum" dataDxfId="822" totalsRowDxfId="498"/>
    <tableColumn id="32" xr3:uid="{00000000-0010-0000-0200-000020000000}" name="31" totalsRowFunction="sum" dataDxfId="821" totalsRowDxfId="497" dataCellStyle="Total"/>
    <tableColumn id="33" xr3:uid="{00000000-0010-0000-0200-000021000000}" name="Total des jours" totalsRowFunction="sum" dataDxfId="820" totalsRowDxfId="496" dataCellStyle="Total">
      <calculatedColumnFormula>COUNTA(Mars[[#This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214BC2-F1A9-794B-922E-B532EC6BBFDF}" name="March5" displayName="March5" ref="B8:AH14" totalsRowCount="1" headerRowDxfId="819" dataDxfId="818" totalsRowDxfId="817">
  <tableColumns count="33">
    <tableColumn id="1" xr3:uid="{5251F992-E710-C643-B160-C37BB2131D31}" name="Nom du réservataire" totalsRowFunction="custom" dataDxfId="816" totalsRowDxfId="495" dataCellStyle="Employé">
      <totalsRowFormula>NomMois&amp;" Total"</totalsRowFormula>
    </tableColumn>
    <tableColumn id="2" xr3:uid="{9AEC3AA3-9F0E-4B4E-A8ED-026BAE9C428F}" name="1" totalsRowFunction="count" dataDxfId="815" totalsRowDxfId="494"/>
    <tableColumn id="3" xr3:uid="{55750F7A-05DD-CB41-95C5-BE1F874725AE}" name="2" totalsRowFunction="count" dataDxfId="814" totalsRowDxfId="493"/>
    <tableColumn id="4" xr3:uid="{259912E4-C37B-5145-B99B-93F989E18A49}" name="3" totalsRowFunction="count" dataDxfId="813" totalsRowDxfId="492"/>
    <tableColumn id="5" xr3:uid="{44743504-4BFF-3B46-87DE-A0AE5C8C9FC0}" name="4" totalsRowFunction="count" dataDxfId="812" totalsRowDxfId="491"/>
    <tableColumn id="6" xr3:uid="{471BE969-F222-D642-8D1A-B386CCC29AB2}" name="5" totalsRowFunction="count" dataDxfId="811" totalsRowDxfId="490"/>
    <tableColumn id="7" xr3:uid="{35FEC3F2-5280-D342-A070-AB9A3C3BCF0A}" name="6" totalsRowFunction="count" dataDxfId="810" totalsRowDxfId="489"/>
    <tableColumn id="8" xr3:uid="{D4047C63-7046-5242-9483-0BC31BD18200}" name="7" totalsRowFunction="count" dataDxfId="809" totalsRowDxfId="488"/>
    <tableColumn id="9" xr3:uid="{79A2B7D0-444A-5942-9296-2BD32E471C66}" name="8" totalsRowFunction="count" dataDxfId="808" totalsRowDxfId="487"/>
    <tableColumn id="10" xr3:uid="{B46D113E-7D39-5A43-BAA4-11739C4AD0C2}" name="9" totalsRowFunction="count" dataDxfId="807" totalsRowDxfId="486"/>
    <tableColumn id="11" xr3:uid="{977EC8E9-AEB6-3E40-BE79-A406D4D3444D}" name="10" totalsRowFunction="count" dataDxfId="806" totalsRowDxfId="485"/>
    <tableColumn id="12" xr3:uid="{42883C66-F682-394E-8D72-6C0286CB27EA}" name="11" totalsRowFunction="count" dataDxfId="805" totalsRowDxfId="484"/>
    <tableColumn id="13" xr3:uid="{9A10401F-4CF0-8641-BCEB-2237315C8881}" name="12" totalsRowFunction="count" dataDxfId="804" totalsRowDxfId="483"/>
    <tableColumn id="14" xr3:uid="{9C8C4D04-BE8B-FB44-9666-B515D905B2D6}" name="13" totalsRowFunction="count" dataDxfId="803" totalsRowDxfId="482"/>
    <tableColumn id="15" xr3:uid="{E996717D-17EC-B048-A561-2AD987D342D0}" name="14" totalsRowFunction="count" dataDxfId="802" totalsRowDxfId="481"/>
    <tableColumn id="16" xr3:uid="{3BFEBF2B-F60F-A142-86F2-75C9DC96AFDB}" name="15" totalsRowFunction="count" dataDxfId="801" totalsRowDxfId="480"/>
    <tableColumn id="17" xr3:uid="{0C97EF54-1361-BE43-8F7F-1BCE23E1AB5A}" name="16" totalsRowFunction="count" dataDxfId="800" totalsRowDxfId="479"/>
    <tableColumn id="18" xr3:uid="{257791F4-E1CB-0642-BD3B-FB1B81C57DF1}" name="17" totalsRowFunction="count" dataDxfId="799" totalsRowDxfId="478"/>
    <tableColumn id="19" xr3:uid="{BB7AB6EF-7B76-5946-B53A-22DB3EB1F3FC}" name="18" totalsRowFunction="count" dataDxfId="798" totalsRowDxfId="477"/>
    <tableColumn id="20" xr3:uid="{85AEA6C3-1E60-234F-8E68-DD23536D850B}" name="19" totalsRowFunction="count" dataDxfId="797" totalsRowDxfId="476"/>
    <tableColumn id="21" xr3:uid="{A73B9507-91D4-9B42-8C0E-1E0FB67905F8}" name="20" totalsRowFunction="count" dataDxfId="796" totalsRowDxfId="475"/>
    <tableColumn id="22" xr3:uid="{5C7BDCBF-0A5A-4549-B80B-C8343893EAF7}" name="21" totalsRowFunction="count" dataDxfId="795" totalsRowDxfId="474"/>
    <tableColumn id="23" xr3:uid="{EC439ECF-E0C6-5D41-9DA2-07E3E82FF691}" name="22" totalsRowFunction="count" dataDxfId="794" totalsRowDxfId="473"/>
    <tableColumn id="24" xr3:uid="{97854A72-AEC9-604B-B1D4-06EC15436469}" name="23" totalsRowFunction="count" dataDxfId="793" totalsRowDxfId="472"/>
    <tableColumn id="25" xr3:uid="{F701FD79-E584-DF4B-83E9-A152532FDD15}" name="24" totalsRowFunction="count" dataDxfId="792" totalsRowDxfId="471"/>
    <tableColumn id="26" xr3:uid="{C662F6C1-F102-5942-8719-E32AD8792020}" name="25" totalsRowFunction="count" dataDxfId="791" totalsRowDxfId="470"/>
    <tableColumn id="27" xr3:uid="{50B9E2E5-9F39-0F45-AE9B-4555A77D295D}" name="26" totalsRowFunction="count" dataDxfId="790" totalsRowDxfId="469"/>
    <tableColumn id="28" xr3:uid="{3E4AF3CF-CB70-0842-B373-83CF59CBDA1D}" name="27" totalsRowFunction="count" dataDxfId="789" totalsRowDxfId="468"/>
    <tableColumn id="29" xr3:uid="{C5FCD875-31A1-4B41-AAF6-09E535D80C81}" name="28" totalsRowFunction="count" dataDxfId="788" totalsRowDxfId="467"/>
    <tableColumn id="30" xr3:uid="{84F06E67-080B-CA42-8EEC-59690B041A03}" name="29" totalsRowFunction="count" dataDxfId="787" totalsRowDxfId="466"/>
    <tableColumn id="31" xr3:uid="{284765D5-58F9-F440-84EA-ACE449176ACA}" name="30" totalsRowFunction="sum" dataDxfId="786" totalsRowDxfId="465"/>
    <tableColumn id="32" xr3:uid="{9C77C5AD-4E19-B843-B9BE-2909F268D667}" name=" " totalsRowFunction="sum" dataDxfId="785" totalsRowDxfId="464" dataCellStyle="Total"/>
    <tableColumn id="33" xr3:uid="{0DA7656D-8525-2046-AEDA-1F40E411BD0D}" name="Total des jours" totalsRowFunction="sum" dataDxfId="784" totalsRowDxfId="463" dataCellStyle="Total">
      <calculatedColumnFormula>COUNTA(March5[[#This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E83FD69-EC79-6B43-9728-DBC90C3FDC77}" name="March58" displayName="March58" ref="B8:AH14" totalsRowCount="1" headerRowDxfId="783" dataDxfId="782" totalsRowDxfId="781">
  <tableColumns count="33">
    <tableColumn id="1" xr3:uid="{5910D0B6-76A8-1646-97A8-4AE2D1756125}" name="Nom du réservataire" totalsRowFunction="custom" dataDxfId="780" totalsRowDxfId="230" dataCellStyle="Employé">
      <totalsRowFormula>NomMois&amp;" Total"</totalsRowFormula>
    </tableColumn>
    <tableColumn id="2" xr3:uid="{69C27970-12EA-0E42-AF5F-351BA83FD215}" name="1" totalsRowFunction="count" dataDxfId="779" totalsRowDxfId="229"/>
    <tableColumn id="3" xr3:uid="{2DB67051-6E13-964F-86B0-B00AA9A5BFAF}" name="2" totalsRowFunction="count" dataDxfId="778" totalsRowDxfId="228"/>
    <tableColumn id="4" xr3:uid="{CF201FDD-65B9-BE4B-BE51-45EFCA258036}" name="3" totalsRowFunction="count" dataDxfId="777" totalsRowDxfId="227"/>
    <tableColumn id="5" xr3:uid="{E03823B4-0CCA-7D47-BCFD-4BB07A97D88C}" name="4" totalsRowFunction="count" dataDxfId="776" totalsRowDxfId="226"/>
    <tableColumn id="6" xr3:uid="{5F39FD90-2520-0847-B186-6CA5B07A072F}" name="5" totalsRowFunction="count" dataDxfId="775" totalsRowDxfId="225"/>
    <tableColumn id="7" xr3:uid="{D7992C25-6255-D54A-8B77-C3032B2914E8}" name="6" totalsRowFunction="count" dataDxfId="774" totalsRowDxfId="224"/>
    <tableColumn id="8" xr3:uid="{161AB8A2-4451-FA40-9408-833AFFC6D7CD}" name="7" totalsRowFunction="count" dataDxfId="773" totalsRowDxfId="223"/>
    <tableColumn id="9" xr3:uid="{82432B13-145C-AC4E-A84F-0C211DED3AEE}" name="8" totalsRowFunction="count" dataDxfId="772" totalsRowDxfId="222"/>
    <tableColumn id="10" xr3:uid="{994E3A00-A93E-8A4C-A93F-5DF73DB59AA5}" name="9" totalsRowFunction="count" dataDxfId="771" totalsRowDxfId="221"/>
    <tableColumn id="11" xr3:uid="{ADA642AC-6B5D-4749-B631-64A63466A02A}" name="10" totalsRowFunction="count" dataDxfId="770" totalsRowDxfId="220"/>
    <tableColumn id="12" xr3:uid="{E1D9D052-9150-4B4A-873C-04B0C9F0EAA0}" name="11" totalsRowFunction="count" dataDxfId="769" totalsRowDxfId="219"/>
    <tableColumn id="13" xr3:uid="{7804DD46-EEB3-7047-A68F-A81094B2F0E0}" name="12" totalsRowFunction="count" dataDxfId="768" totalsRowDxfId="218"/>
    <tableColumn id="14" xr3:uid="{39F98B96-5BF4-7747-A3D2-F58049C2C331}" name="13" totalsRowFunction="count" dataDxfId="767" totalsRowDxfId="217"/>
    <tableColumn id="15" xr3:uid="{8908FF7E-1791-CA41-8CF3-4A9F971974C3}" name="14" totalsRowFunction="count" dataDxfId="766" totalsRowDxfId="216"/>
    <tableColumn id="16" xr3:uid="{773FDBBE-AB42-A546-8329-8BDAEF4D06C4}" name="15" totalsRowFunction="count" dataDxfId="765" totalsRowDxfId="215"/>
    <tableColumn id="17" xr3:uid="{01EE92EC-B490-AF40-BDB2-290F1B1C3C58}" name="16" totalsRowFunction="count" dataDxfId="764" totalsRowDxfId="214"/>
    <tableColumn id="18" xr3:uid="{DF22A54C-2BE2-1340-BC66-FDDF323ABBE0}" name="17" totalsRowFunction="count" dataDxfId="763" totalsRowDxfId="213"/>
    <tableColumn id="19" xr3:uid="{BB1CDCA3-E15B-8D4E-ABE5-0D5BE02A950E}" name="18" totalsRowFunction="count" dataDxfId="762" totalsRowDxfId="212"/>
    <tableColumn id="20" xr3:uid="{4D5E657B-D9D2-8C4A-A4EB-E29B4B8BCF70}" name="19" totalsRowFunction="count" dataDxfId="761" totalsRowDxfId="211"/>
    <tableColumn id="21" xr3:uid="{B5D1019E-86BD-A146-A976-653D87FAC02B}" name="20" totalsRowFunction="count" dataDxfId="760" totalsRowDxfId="210"/>
    <tableColumn id="22" xr3:uid="{D1F7F5A1-B363-AC44-9332-4BA33D6CCEA8}" name="21" totalsRowFunction="count" dataDxfId="759" totalsRowDxfId="209"/>
    <tableColumn id="23" xr3:uid="{0EEDA366-AE45-0947-A354-D1B1BEB67F28}" name="22" totalsRowFunction="count" dataDxfId="758" totalsRowDxfId="208"/>
    <tableColumn id="24" xr3:uid="{8DB56569-FE6B-4249-B364-D76AC1D9BE79}" name="23" totalsRowFunction="count" dataDxfId="757" totalsRowDxfId="207"/>
    <tableColumn id="25" xr3:uid="{5BECBC0C-925A-8245-AD6D-847781A68957}" name="24" totalsRowFunction="count" dataDxfId="756" totalsRowDxfId="206"/>
    <tableColumn id="26" xr3:uid="{7D745BDB-6C53-8B4B-BA72-5FBDCB5D9CCC}" name="25" totalsRowFunction="count" dataDxfId="755" totalsRowDxfId="205"/>
    <tableColumn id="27" xr3:uid="{FA6FFB4C-5E6D-DA4E-8F87-EEC900B26695}" name="26" totalsRowFunction="count" dataDxfId="754" totalsRowDxfId="204"/>
    <tableColumn id="28" xr3:uid="{A50BDA94-D72B-C043-A8B2-E1E178EA827F}" name="27" totalsRowFunction="count" dataDxfId="753" totalsRowDxfId="203"/>
    <tableColumn id="29" xr3:uid="{D68B12D0-F485-FF42-B2E6-30EC0E2C418D}" name="28" totalsRowFunction="count" dataDxfId="752" totalsRowDxfId="202"/>
    <tableColumn id="30" xr3:uid="{695C2584-A6A5-D742-A768-02D19E90DEBC}" name="29" totalsRowFunction="count" dataDxfId="751" totalsRowDxfId="201"/>
    <tableColumn id="31" xr3:uid="{0B002160-8CE9-4B4E-A7A4-CFE8C54F8781}" name="30" totalsRowFunction="sum" dataDxfId="750" totalsRowDxfId="200"/>
    <tableColumn id="32" xr3:uid="{9A241B27-F77F-9E49-9678-7978D0423F17}" name="31" totalsRowFunction="sum" dataDxfId="749" totalsRowDxfId="199" dataCellStyle="Total"/>
    <tableColumn id="33" xr3:uid="{C85EB010-29D3-FD4A-9882-B705BDC3D2EF}" name="Total des jours" totalsRowFunction="sum" dataDxfId="748" totalsRowDxfId="198" dataCellStyle="Total">
      <calculatedColumnFormula>COUNTA(March58[[#This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Juin" displayName="Juin" ref="B8:AH14" totalsRowCount="1" headerRowDxfId="747" dataDxfId="746" totalsRowDxfId="745">
  <tableColumns count="33">
    <tableColumn id="1" xr3:uid="{00000000-0010-0000-0500-000001000000}" name="Nom du réservataire" totalsRowFunction="custom" dataDxfId="744" totalsRowDxfId="197" dataCellStyle="Employé">
      <totalsRowFormula>NomMois&amp;" Total"</totalsRowFormula>
    </tableColumn>
    <tableColumn id="2" xr3:uid="{00000000-0010-0000-0500-000002000000}" name="1" totalsRowFunction="count" dataDxfId="743" totalsRowDxfId="196"/>
    <tableColumn id="3" xr3:uid="{00000000-0010-0000-0500-000003000000}" name="2" totalsRowFunction="count" dataDxfId="742" totalsRowDxfId="195"/>
    <tableColumn id="4" xr3:uid="{00000000-0010-0000-0500-000004000000}" name="3" totalsRowFunction="count" dataDxfId="741" totalsRowDxfId="194"/>
    <tableColumn id="5" xr3:uid="{00000000-0010-0000-0500-000005000000}" name="4" totalsRowFunction="count" dataDxfId="740" totalsRowDxfId="193"/>
    <tableColumn id="6" xr3:uid="{00000000-0010-0000-0500-000006000000}" name="5" totalsRowFunction="count" dataDxfId="739" totalsRowDxfId="192"/>
    <tableColumn id="7" xr3:uid="{00000000-0010-0000-0500-000007000000}" name="6" totalsRowFunction="count" dataDxfId="738" totalsRowDxfId="191"/>
    <tableColumn id="8" xr3:uid="{00000000-0010-0000-0500-000008000000}" name="7" totalsRowFunction="count" dataDxfId="737" totalsRowDxfId="190"/>
    <tableColumn id="9" xr3:uid="{00000000-0010-0000-0500-000009000000}" name="8" totalsRowFunction="count" dataDxfId="736" totalsRowDxfId="189"/>
    <tableColumn id="10" xr3:uid="{00000000-0010-0000-0500-00000A000000}" name="9" totalsRowFunction="count" dataDxfId="735" totalsRowDxfId="188"/>
    <tableColumn id="11" xr3:uid="{00000000-0010-0000-0500-00000B000000}" name="10" totalsRowFunction="count" dataDxfId="734" totalsRowDxfId="187"/>
    <tableColumn id="12" xr3:uid="{00000000-0010-0000-0500-00000C000000}" name="11" totalsRowFunction="count" dataDxfId="733" totalsRowDxfId="186"/>
    <tableColumn id="13" xr3:uid="{00000000-0010-0000-0500-00000D000000}" name="12" totalsRowFunction="count" dataDxfId="732" totalsRowDxfId="185"/>
    <tableColumn id="14" xr3:uid="{00000000-0010-0000-0500-00000E000000}" name="13" totalsRowFunction="count" dataDxfId="731" totalsRowDxfId="184"/>
    <tableColumn id="15" xr3:uid="{00000000-0010-0000-0500-00000F000000}" name="14" totalsRowFunction="count" dataDxfId="730" totalsRowDxfId="183"/>
    <tableColumn id="16" xr3:uid="{00000000-0010-0000-0500-000010000000}" name="15" totalsRowFunction="count" dataDxfId="729" totalsRowDxfId="182"/>
    <tableColumn id="17" xr3:uid="{00000000-0010-0000-0500-000011000000}" name="16" totalsRowFunction="count" dataDxfId="728" totalsRowDxfId="181"/>
    <tableColumn id="18" xr3:uid="{00000000-0010-0000-0500-000012000000}" name="17" totalsRowFunction="count" dataDxfId="727" totalsRowDxfId="180"/>
    <tableColumn id="19" xr3:uid="{00000000-0010-0000-0500-000013000000}" name="18" totalsRowFunction="count" dataDxfId="726" totalsRowDxfId="179"/>
    <tableColumn id="20" xr3:uid="{00000000-0010-0000-0500-000014000000}" name="19" totalsRowFunction="count" dataDxfId="725" totalsRowDxfId="178"/>
    <tableColumn id="21" xr3:uid="{00000000-0010-0000-0500-000015000000}" name="20" totalsRowFunction="count" dataDxfId="724" totalsRowDxfId="177"/>
    <tableColumn id="22" xr3:uid="{00000000-0010-0000-0500-000016000000}" name="21" totalsRowFunction="count" dataDxfId="723" totalsRowDxfId="176"/>
    <tableColumn id="23" xr3:uid="{00000000-0010-0000-0500-000017000000}" name="22" totalsRowFunction="count" dataDxfId="722" totalsRowDxfId="175"/>
    <tableColumn id="24" xr3:uid="{00000000-0010-0000-0500-000018000000}" name="23" totalsRowFunction="count" dataDxfId="721" totalsRowDxfId="174"/>
    <tableColumn id="25" xr3:uid="{00000000-0010-0000-0500-000019000000}" name="24" totalsRowFunction="count" dataDxfId="720" totalsRowDxfId="173"/>
    <tableColumn id="26" xr3:uid="{00000000-0010-0000-0500-00001A000000}" name="25" totalsRowFunction="count" dataDxfId="719" totalsRowDxfId="172"/>
    <tableColumn id="27" xr3:uid="{00000000-0010-0000-0500-00001B000000}" name="26" totalsRowFunction="count" dataDxfId="718" totalsRowDxfId="171"/>
    <tableColumn id="28" xr3:uid="{00000000-0010-0000-0500-00001C000000}" name="27" totalsRowFunction="count" dataDxfId="717" totalsRowDxfId="170"/>
    <tableColumn id="29" xr3:uid="{00000000-0010-0000-0500-00001D000000}" name="28" totalsRowFunction="count" dataDxfId="716" totalsRowDxfId="169"/>
    <tableColumn id="30" xr3:uid="{00000000-0010-0000-0500-00001E000000}" name="29" totalsRowFunction="count" dataDxfId="715" totalsRowDxfId="168"/>
    <tableColumn id="31" xr3:uid="{00000000-0010-0000-0500-00001F000000}" name="30" totalsRowFunction="sum" dataDxfId="714" totalsRowDxfId="167"/>
    <tableColumn id="32" xr3:uid="{00000000-0010-0000-0500-000020000000}" name=" " totalsRowFunction="sum" dataDxfId="713" totalsRowDxfId="166" dataCellStyle="Total"/>
    <tableColumn id="33" xr3:uid="{00000000-0010-0000-0500-000021000000}" name="Total des jours" totalsRowFunction="sum" dataDxfId="712" totalsRowDxfId="165" dataCellStyle="Total">
      <calculatedColumnFormula>COUNTA(Juin[[#This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Juillet" displayName="Juillet" ref="B8:AH14" totalsRowCount="1" headerRowDxfId="711" dataDxfId="710" totalsRowDxfId="709">
  <tableColumns count="33">
    <tableColumn id="1" xr3:uid="{00000000-0010-0000-0600-000001000000}" name="Nom du réservataire" totalsRowFunction="custom" dataDxfId="462" totalsRowDxfId="164" dataCellStyle="Employé">
      <totalsRowFormula>NomMois&amp;" Total"</totalsRowFormula>
    </tableColumn>
    <tableColumn id="2" xr3:uid="{00000000-0010-0000-0600-000002000000}" name="1" totalsRowFunction="count" dataDxfId="461" totalsRowDxfId="163"/>
    <tableColumn id="3" xr3:uid="{00000000-0010-0000-0600-000003000000}" name="2" totalsRowFunction="count" dataDxfId="460" totalsRowDxfId="162"/>
    <tableColumn id="4" xr3:uid="{00000000-0010-0000-0600-000004000000}" name="3" totalsRowFunction="count" dataDxfId="459" totalsRowDxfId="161"/>
    <tableColumn id="5" xr3:uid="{00000000-0010-0000-0600-000005000000}" name="4" totalsRowFunction="count" dataDxfId="458" totalsRowDxfId="160"/>
    <tableColumn id="6" xr3:uid="{00000000-0010-0000-0600-000006000000}" name="5" totalsRowFunction="count" dataDxfId="457" totalsRowDxfId="159"/>
    <tableColumn id="7" xr3:uid="{00000000-0010-0000-0600-000007000000}" name="6" totalsRowFunction="count" dataDxfId="456" totalsRowDxfId="158"/>
    <tableColumn id="8" xr3:uid="{00000000-0010-0000-0600-000008000000}" name="7" totalsRowFunction="count" dataDxfId="455" totalsRowDxfId="157"/>
    <tableColumn id="9" xr3:uid="{00000000-0010-0000-0600-000009000000}" name="8" totalsRowFunction="count" dataDxfId="454" totalsRowDxfId="156"/>
    <tableColumn id="10" xr3:uid="{00000000-0010-0000-0600-00000A000000}" name="9" totalsRowFunction="count" dataDxfId="453" totalsRowDxfId="155"/>
    <tableColumn id="11" xr3:uid="{00000000-0010-0000-0600-00000B000000}" name="10" totalsRowFunction="count" dataDxfId="452" totalsRowDxfId="154"/>
    <tableColumn id="12" xr3:uid="{00000000-0010-0000-0600-00000C000000}" name="11" totalsRowFunction="count" dataDxfId="451" totalsRowDxfId="153"/>
    <tableColumn id="13" xr3:uid="{00000000-0010-0000-0600-00000D000000}" name="12" totalsRowFunction="count" dataDxfId="450" totalsRowDxfId="152"/>
    <tableColumn id="14" xr3:uid="{00000000-0010-0000-0600-00000E000000}" name="13" totalsRowFunction="count" dataDxfId="449" totalsRowDxfId="151"/>
    <tableColumn id="15" xr3:uid="{00000000-0010-0000-0600-00000F000000}" name="14" totalsRowFunction="count" dataDxfId="448" totalsRowDxfId="150"/>
    <tableColumn id="16" xr3:uid="{00000000-0010-0000-0600-000010000000}" name="15" totalsRowFunction="count" dataDxfId="447" totalsRowDxfId="149"/>
    <tableColumn id="17" xr3:uid="{00000000-0010-0000-0600-000011000000}" name="16" totalsRowFunction="count" dataDxfId="446" totalsRowDxfId="148"/>
    <tableColumn id="18" xr3:uid="{00000000-0010-0000-0600-000012000000}" name="17" totalsRowFunction="count" dataDxfId="445" totalsRowDxfId="147"/>
    <tableColumn id="19" xr3:uid="{00000000-0010-0000-0600-000013000000}" name="18" totalsRowFunction="count" dataDxfId="444" totalsRowDxfId="146"/>
    <tableColumn id="20" xr3:uid="{00000000-0010-0000-0600-000014000000}" name="19" totalsRowFunction="count" dataDxfId="443" totalsRowDxfId="145"/>
    <tableColumn id="21" xr3:uid="{00000000-0010-0000-0600-000015000000}" name="20" totalsRowFunction="count" dataDxfId="442" totalsRowDxfId="144"/>
    <tableColumn id="22" xr3:uid="{00000000-0010-0000-0600-000016000000}" name="21" totalsRowFunction="count" dataDxfId="441" totalsRowDxfId="143"/>
    <tableColumn id="23" xr3:uid="{00000000-0010-0000-0600-000017000000}" name="22" totalsRowFunction="count" dataDxfId="440" totalsRowDxfId="142"/>
    <tableColumn id="24" xr3:uid="{00000000-0010-0000-0600-000018000000}" name="23" totalsRowFunction="count" dataDxfId="439" totalsRowDxfId="141"/>
    <tableColumn id="25" xr3:uid="{00000000-0010-0000-0600-000019000000}" name="24" totalsRowFunction="count" dataDxfId="438" totalsRowDxfId="140"/>
    <tableColumn id="26" xr3:uid="{00000000-0010-0000-0600-00001A000000}" name="25" totalsRowFunction="count" dataDxfId="437" totalsRowDxfId="139"/>
    <tableColumn id="27" xr3:uid="{00000000-0010-0000-0600-00001B000000}" name="26" totalsRowFunction="count" dataDxfId="436" totalsRowDxfId="138"/>
    <tableColumn id="28" xr3:uid="{00000000-0010-0000-0600-00001C000000}" name="27" totalsRowFunction="count" dataDxfId="435" totalsRowDxfId="137"/>
    <tableColumn id="29" xr3:uid="{00000000-0010-0000-0600-00001D000000}" name="28" totalsRowFunction="count" dataDxfId="434" totalsRowDxfId="136"/>
    <tableColumn id="30" xr3:uid="{00000000-0010-0000-0600-00001E000000}" name="29" totalsRowFunction="count" dataDxfId="433" totalsRowDxfId="135"/>
    <tableColumn id="31" xr3:uid="{00000000-0010-0000-0600-00001F000000}" name="30" totalsRowFunction="sum" dataDxfId="432" totalsRowDxfId="134"/>
    <tableColumn id="32" xr3:uid="{00000000-0010-0000-0600-000020000000}" name="31" totalsRowFunction="sum" dataDxfId="431" totalsRowDxfId="133" dataCellStyle="Total"/>
    <tableColumn id="33" xr3:uid="{00000000-0010-0000-0600-000021000000}" name="Total des jours" totalsRowFunction="sum" dataDxfId="430" totalsRowDxfId="132" dataCellStyle="Total">
      <calculatedColumnFormula>COUNTA(Juillet[[#This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Août" displayName="Août" ref="B8:AH14" totalsRowCount="1" headerRowDxfId="708" dataDxfId="707" totalsRowDxfId="706">
  <tableColumns count="33">
    <tableColumn id="1" xr3:uid="{00000000-0010-0000-0700-000001000000}" name="Nom du réservataire" totalsRowFunction="custom" dataDxfId="705" totalsRowDxfId="131" dataCellStyle="Employé">
      <totalsRowFormula>NomMois&amp;" Total"</totalsRowFormula>
    </tableColumn>
    <tableColumn id="2" xr3:uid="{00000000-0010-0000-0700-000002000000}" name="1" totalsRowFunction="count" dataDxfId="704" totalsRowDxfId="130"/>
    <tableColumn id="3" xr3:uid="{00000000-0010-0000-0700-000003000000}" name="2" totalsRowFunction="count" dataDxfId="703" totalsRowDxfId="129"/>
    <tableColumn id="4" xr3:uid="{00000000-0010-0000-0700-000004000000}" name="3" totalsRowFunction="count" dataDxfId="702" totalsRowDxfId="128"/>
    <tableColumn id="5" xr3:uid="{00000000-0010-0000-0700-000005000000}" name="4" totalsRowFunction="count" dataDxfId="701" totalsRowDxfId="127"/>
    <tableColumn id="6" xr3:uid="{00000000-0010-0000-0700-000006000000}" name="5" totalsRowFunction="count" dataDxfId="700" totalsRowDxfId="126"/>
    <tableColumn id="7" xr3:uid="{00000000-0010-0000-0700-000007000000}" name="6" totalsRowFunction="count" dataDxfId="699" totalsRowDxfId="125"/>
    <tableColumn id="8" xr3:uid="{00000000-0010-0000-0700-000008000000}" name="7" totalsRowFunction="count" dataDxfId="698" totalsRowDxfId="124"/>
    <tableColumn id="9" xr3:uid="{00000000-0010-0000-0700-000009000000}" name="8" totalsRowFunction="count" dataDxfId="697" totalsRowDxfId="123"/>
    <tableColumn id="10" xr3:uid="{00000000-0010-0000-0700-00000A000000}" name="9" totalsRowFunction="count" dataDxfId="696" totalsRowDxfId="122"/>
    <tableColumn id="11" xr3:uid="{00000000-0010-0000-0700-00000B000000}" name="10" totalsRowFunction="count" dataDxfId="695" totalsRowDxfId="121"/>
    <tableColumn id="12" xr3:uid="{00000000-0010-0000-0700-00000C000000}" name="11" totalsRowFunction="count" dataDxfId="694" totalsRowDxfId="120"/>
    <tableColumn id="13" xr3:uid="{00000000-0010-0000-0700-00000D000000}" name="12" totalsRowFunction="count" dataDxfId="693" totalsRowDxfId="119"/>
    <tableColumn id="14" xr3:uid="{00000000-0010-0000-0700-00000E000000}" name="13" totalsRowFunction="count" dataDxfId="692" totalsRowDxfId="118"/>
    <tableColumn id="15" xr3:uid="{00000000-0010-0000-0700-00000F000000}" name="14" totalsRowFunction="count" dataDxfId="691" totalsRowDxfId="117"/>
    <tableColumn id="16" xr3:uid="{00000000-0010-0000-0700-000010000000}" name="15" totalsRowFunction="count" dataDxfId="690" totalsRowDxfId="116"/>
    <tableColumn id="17" xr3:uid="{00000000-0010-0000-0700-000011000000}" name="16" totalsRowFunction="count" dataDxfId="689" totalsRowDxfId="115"/>
    <tableColumn id="18" xr3:uid="{00000000-0010-0000-0700-000012000000}" name="17" totalsRowFunction="count" dataDxfId="688" totalsRowDxfId="114"/>
    <tableColumn id="19" xr3:uid="{00000000-0010-0000-0700-000013000000}" name="18" totalsRowFunction="count" dataDxfId="687" totalsRowDxfId="113"/>
    <tableColumn id="20" xr3:uid="{00000000-0010-0000-0700-000014000000}" name="19" totalsRowFunction="count" dataDxfId="686" totalsRowDxfId="112"/>
    <tableColumn id="21" xr3:uid="{00000000-0010-0000-0700-000015000000}" name="20" totalsRowFunction="count" dataDxfId="685" totalsRowDxfId="111"/>
    <tableColumn id="22" xr3:uid="{00000000-0010-0000-0700-000016000000}" name="21" totalsRowFunction="count" dataDxfId="684" totalsRowDxfId="110"/>
    <tableColumn id="23" xr3:uid="{00000000-0010-0000-0700-000017000000}" name="22" totalsRowFunction="count" dataDxfId="683" totalsRowDxfId="109"/>
    <tableColumn id="24" xr3:uid="{00000000-0010-0000-0700-000018000000}" name="23" totalsRowFunction="count" dataDxfId="682" totalsRowDxfId="108"/>
    <tableColumn id="25" xr3:uid="{00000000-0010-0000-0700-000019000000}" name="24" totalsRowFunction="count" dataDxfId="681" totalsRowDxfId="107"/>
    <tableColumn id="26" xr3:uid="{00000000-0010-0000-0700-00001A000000}" name="25" totalsRowFunction="count" dataDxfId="680" totalsRowDxfId="106"/>
    <tableColumn id="27" xr3:uid="{00000000-0010-0000-0700-00001B000000}" name="26" totalsRowFunction="count" dataDxfId="679" totalsRowDxfId="105"/>
    <tableColumn id="28" xr3:uid="{00000000-0010-0000-0700-00001C000000}" name="27" totalsRowFunction="count" dataDxfId="678" totalsRowDxfId="104"/>
    <tableColumn id="29" xr3:uid="{00000000-0010-0000-0700-00001D000000}" name="28" totalsRowFunction="count" dataDxfId="677" totalsRowDxfId="103"/>
    <tableColumn id="30" xr3:uid="{00000000-0010-0000-0700-00001E000000}" name="29" totalsRowFunction="count" dataDxfId="676" totalsRowDxfId="102"/>
    <tableColumn id="31" xr3:uid="{00000000-0010-0000-0700-00001F000000}" name="30" totalsRowFunction="sum" dataDxfId="675" totalsRowDxfId="101"/>
    <tableColumn id="32" xr3:uid="{00000000-0010-0000-0700-000020000000}" name="31" totalsRowFunction="sum" dataDxfId="674" totalsRowDxfId="100" dataCellStyle="Total"/>
    <tableColumn id="33" xr3:uid="{00000000-0010-0000-0700-000021000000}" name="Total des jours" totalsRowFunction="sum" dataDxfId="673" totalsRowDxfId="99" dataCellStyle="Total">
      <calculatedColumnFormula>COUNTA(Août[[#This Row],[1]:[31]])</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ptembre" displayName="Septembre" ref="B8:AH14" totalsRowCount="1" headerRowDxfId="672" dataDxfId="671" totalsRowDxfId="670">
  <tableColumns count="33">
    <tableColumn id="1" xr3:uid="{00000000-0010-0000-0800-000001000000}" name="Nom du réservataire" totalsRowFunction="custom" dataDxfId="669" totalsRowDxfId="98" dataCellStyle="Employé">
      <totalsRowFormula>NomMois&amp;" Total"</totalsRowFormula>
    </tableColumn>
    <tableColumn id="2" xr3:uid="{00000000-0010-0000-0800-000002000000}" name="1" totalsRowFunction="count" dataDxfId="668" totalsRowDxfId="97"/>
    <tableColumn id="3" xr3:uid="{00000000-0010-0000-0800-000003000000}" name="2" totalsRowFunction="count" dataDxfId="667" totalsRowDxfId="96"/>
    <tableColumn id="4" xr3:uid="{00000000-0010-0000-0800-000004000000}" name="3" totalsRowFunction="count" dataDxfId="666" totalsRowDxfId="95"/>
    <tableColumn id="5" xr3:uid="{00000000-0010-0000-0800-000005000000}" name="4" totalsRowFunction="count" dataDxfId="665" totalsRowDxfId="94"/>
    <tableColumn id="6" xr3:uid="{00000000-0010-0000-0800-000006000000}" name="5" totalsRowFunction="count" dataDxfId="664" totalsRowDxfId="93"/>
    <tableColumn id="7" xr3:uid="{00000000-0010-0000-0800-000007000000}" name="6" totalsRowFunction="count" dataDxfId="663" totalsRowDxfId="92"/>
    <tableColumn id="8" xr3:uid="{00000000-0010-0000-0800-000008000000}" name="7" totalsRowFunction="count" dataDxfId="662" totalsRowDxfId="91"/>
    <tableColumn id="9" xr3:uid="{00000000-0010-0000-0800-000009000000}" name="8" totalsRowFunction="count" dataDxfId="661" totalsRowDxfId="90"/>
    <tableColumn id="10" xr3:uid="{00000000-0010-0000-0800-00000A000000}" name="9" totalsRowFunction="count" dataDxfId="660" totalsRowDxfId="89"/>
    <tableColumn id="11" xr3:uid="{00000000-0010-0000-0800-00000B000000}" name="10" totalsRowFunction="count" dataDxfId="659" totalsRowDxfId="88"/>
    <tableColumn id="12" xr3:uid="{00000000-0010-0000-0800-00000C000000}" name="11" totalsRowFunction="count" dataDxfId="658" totalsRowDxfId="87"/>
    <tableColumn id="13" xr3:uid="{00000000-0010-0000-0800-00000D000000}" name="12" totalsRowFunction="count" dataDxfId="657" totalsRowDxfId="86"/>
    <tableColumn id="14" xr3:uid="{00000000-0010-0000-0800-00000E000000}" name="13" totalsRowFunction="count" dataDxfId="656" totalsRowDxfId="85"/>
    <tableColumn id="15" xr3:uid="{00000000-0010-0000-0800-00000F000000}" name="14" totalsRowFunction="count" dataDxfId="655" totalsRowDxfId="84"/>
    <tableColumn id="16" xr3:uid="{00000000-0010-0000-0800-000010000000}" name="15" totalsRowFunction="count" dataDxfId="654" totalsRowDxfId="83"/>
    <tableColumn id="17" xr3:uid="{00000000-0010-0000-0800-000011000000}" name="16" totalsRowFunction="count" dataDxfId="653" totalsRowDxfId="82"/>
    <tableColumn id="18" xr3:uid="{00000000-0010-0000-0800-000012000000}" name="17" totalsRowFunction="count" dataDxfId="652" totalsRowDxfId="81"/>
    <tableColumn id="19" xr3:uid="{00000000-0010-0000-0800-000013000000}" name="18" totalsRowFunction="count" dataDxfId="651" totalsRowDxfId="80"/>
    <tableColumn id="20" xr3:uid="{00000000-0010-0000-0800-000014000000}" name="19" totalsRowFunction="count" dataDxfId="650" totalsRowDxfId="79"/>
    <tableColumn id="21" xr3:uid="{00000000-0010-0000-0800-000015000000}" name="20" totalsRowFunction="count" dataDxfId="649" totalsRowDxfId="78"/>
    <tableColumn id="22" xr3:uid="{00000000-0010-0000-0800-000016000000}" name="21" totalsRowFunction="count" dataDxfId="648" totalsRowDxfId="77"/>
    <tableColumn id="23" xr3:uid="{00000000-0010-0000-0800-000017000000}" name="22" totalsRowFunction="count" dataDxfId="647" totalsRowDxfId="76"/>
    <tableColumn id="24" xr3:uid="{00000000-0010-0000-0800-000018000000}" name="23" totalsRowFunction="count" dataDxfId="646" totalsRowDxfId="75"/>
    <tableColumn id="25" xr3:uid="{00000000-0010-0000-0800-000019000000}" name="24" totalsRowFunction="count" dataDxfId="645" totalsRowDxfId="74"/>
    <tableColumn id="26" xr3:uid="{00000000-0010-0000-0800-00001A000000}" name="25" totalsRowFunction="count" dataDxfId="644" totalsRowDxfId="73"/>
    <tableColumn id="27" xr3:uid="{00000000-0010-0000-0800-00001B000000}" name="26" totalsRowFunction="count" dataDxfId="643" totalsRowDxfId="72"/>
    <tableColumn id="28" xr3:uid="{00000000-0010-0000-0800-00001C000000}" name="27" totalsRowFunction="count" dataDxfId="642" totalsRowDxfId="71"/>
    <tableColumn id="29" xr3:uid="{00000000-0010-0000-0800-00001D000000}" name="28" totalsRowFunction="count" dataDxfId="641" totalsRowDxfId="70"/>
    <tableColumn id="30" xr3:uid="{00000000-0010-0000-0800-00001E000000}" name="29" totalsRowFunction="count" dataDxfId="640" totalsRowDxfId="69"/>
    <tableColumn id="31" xr3:uid="{00000000-0010-0000-0800-00001F000000}" name="30" totalsRowFunction="sum" dataDxfId="639" totalsRowDxfId="68"/>
    <tableColumn id="32" xr3:uid="{00000000-0010-0000-0800-000020000000}" name=" " totalsRowFunction="sum" dataDxfId="638" totalsRowDxfId="67" dataCellStyle="Total"/>
    <tableColumn id="33" xr3:uid="{00000000-0010-0000-0800-000021000000}" name="Total des jours" totalsRowFunction="sum" dataDxfId="637" totalsRowDxfId="66" dataCellStyle="Total">
      <calculatedColumnFormula>COUNTA(Septembre[[#This Row],[1]:[ ]])</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Entrez les noms des employés et les dates d’absence. Enregistrez le motif d’absence à l’aide des clés figurant dans la ligne 12 : C=Congé, M=Maladie, P=Personnel, et deux espaces réservés pour des entrées personnalisées"/>
    </ext>
  </extLst>
</table>
</file>

<file path=xl/theme/theme1.xml><?xml version="1.0" encoding="utf-8"?>
<a:theme xmlns:a="http://schemas.openxmlformats.org/drawingml/2006/main" name="Office Theme">
  <a:themeElements>
    <a:clrScheme name="TM03987167">
      <a:dk1>
        <a:srgbClr val="000000"/>
      </a:dk1>
      <a:lt1>
        <a:srgbClr val="FFFFFF"/>
      </a:lt1>
      <a:dk2>
        <a:srgbClr val="44546A"/>
      </a:dk2>
      <a:lt2>
        <a:srgbClr val="E7E6E6"/>
      </a:lt2>
      <a:accent1>
        <a:srgbClr val="1F452F"/>
      </a:accent1>
      <a:accent2>
        <a:srgbClr val="709A97"/>
      </a:accent2>
      <a:accent3>
        <a:srgbClr val="1B417C"/>
      </a:accent3>
      <a:accent4>
        <a:srgbClr val="D8A141"/>
      </a:accent4>
      <a:accent5>
        <a:srgbClr val="CAAFF3"/>
      </a:accent5>
      <a:accent6>
        <a:srgbClr val="EF5C37"/>
      </a:accent6>
      <a:hlink>
        <a:srgbClr val="0563C1"/>
      </a:hlink>
      <a:folHlink>
        <a:srgbClr val="954F72"/>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AH14"/>
  <sheetViews>
    <sheetView showGridLines="0" zoomScaleNormal="100" workbookViewId="0">
      <selection activeCell="B1" sqref="B1:R1"/>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1:34" s="14" customFormat="1" ht="50.1" customHeight="1">
      <c r="A1" s="13"/>
      <c r="B1" s="23" t="s">
        <v>51</v>
      </c>
    </row>
    <row r="2" spans="1:34" s="14" customFormat="1" ht="100.35" customHeight="1">
      <c r="A2"/>
      <c r="B2" s="22" t="s">
        <v>0</v>
      </c>
    </row>
    <row r="3" spans="1:34" s="14" customFormat="1" ht="15" customHeight="1">
      <c r="A3"/>
      <c r="B3" s="9"/>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ht="84"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8"/>
      <c r="T4" s="34"/>
      <c r="U4" s="34"/>
      <c r="V4" s="34"/>
      <c r="W4" s="34"/>
    </row>
    <row r="5" spans="1:34" ht="1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7"/>
    </row>
    <row r="6" spans="1: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1:34" ht="30" customHeight="1">
      <c r="B7" s="7"/>
      <c r="C7" s="20" t="str">
        <f>TEXT(WEEKDAY(DATE(CalendarYear,1,1),1),"jjj")</f>
        <v>mer</v>
      </c>
      <c r="D7" s="20" t="str">
        <f>TEXT(WEEKDAY(DATE(CalendarYear,1,2),1),"jjj")</f>
        <v>jeu</v>
      </c>
      <c r="E7" s="20" t="str">
        <f>TEXT(WEEKDAY(DATE(CalendarYear,1,3),1),"jjj")</f>
        <v>ven</v>
      </c>
      <c r="F7" s="20" t="str">
        <f>TEXT(WEEKDAY(DATE(CalendarYear,1,4),1),"jjj")</f>
        <v>sam</v>
      </c>
      <c r="G7" s="20" t="str">
        <f>TEXT(WEEKDAY(DATE(CalendarYear,1,5),1),"jjj")</f>
        <v>dim</v>
      </c>
      <c r="H7" s="20" t="str">
        <f>TEXT(WEEKDAY(DATE(CalendarYear,1,6),1),"jjj")</f>
        <v>lun</v>
      </c>
      <c r="I7" s="20" t="str">
        <f>TEXT(WEEKDAY(DATE(CalendarYear,1,7),1),"jjj")</f>
        <v>mar</v>
      </c>
      <c r="J7" s="20" t="str">
        <f>TEXT(WEEKDAY(DATE(CalendarYear,1,8),1),"jjj")</f>
        <v>mer</v>
      </c>
      <c r="K7" s="20" t="str">
        <f>TEXT(WEEKDAY(DATE(CalendarYear,1,9),1),"jjj")</f>
        <v>jeu</v>
      </c>
      <c r="L7" s="20" t="str">
        <f>TEXT(WEEKDAY(DATE(CalendarYear,1,10),1),"jjj")</f>
        <v>ven</v>
      </c>
      <c r="M7" s="20" t="str">
        <f>TEXT(WEEKDAY(DATE(CalendarYear,1,11),1),"jjj")</f>
        <v>sam</v>
      </c>
      <c r="N7" s="20" t="str">
        <f>TEXT(WEEKDAY(DATE(CalendarYear,1,12),1),"jjj")</f>
        <v>dim</v>
      </c>
      <c r="O7" s="20" t="str">
        <f>TEXT(WEEKDAY(DATE(CalendarYear,1,13),1),"jjj")</f>
        <v>lun</v>
      </c>
      <c r="P7" s="20" t="str">
        <f>TEXT(WEEKDAY(DATE(CalendarYear,1,14),1),"jjj")</f>
        <v>mar</v>
      </c>
      <c r="Q7" s="20" t="str">
        <f>TEXT(WEEKDAY(DATE(CalendarYear,1,15),1),"jjj")</f>
        <v>mer</v>
      </c>
      <c r="R7" s="20" t="str">
        <f>TEXT(WEEKDAY(DATE(CalendarYear,1,16),1),"jjj")</f>
        <v>jeu</v>
      </c>
      <c r="S7" s="20" t="str">
        <f>TEXT(WEEKDAY(DATE(CalendarYear,1,17),1),"jjj")</f>
        <v>ven</v>
      </c>
      <c r="T7" s="20" t="str">
        <f>TEXT(WEEKDAY(DATE(CalendarYear,1,18),1),"jjj")</f>
        <v>sam</v>
      </c>
      <c r="U7" s="20" t="str">
        <f>TEXT(WEEKDAY(DATE(CalendarYear,1,19),1),"jjj")</f>
        <v>dim</v>
      </c>
      <c r="V7" s="20" t="str">
        <f>TEXT(WEEKDAY(DATE(CalendarYear,1,20),1),"jjj")</f>
        <v>lun</v>
      </c>
      <c r="W7" s="20" t="str">
        <f>TEXT(WEEKDAY(DATE(CalendarYear,1,21),1),"jjj")</f>
        <v>mar</v>
      </c>
      <c r="X7" s="20" t="str">
        <f>TEXT(WEEKDAY(DATE(CalendarYear,1,22),1),"jjj")</f>
        <v>mer</v>
      </c>
      <c r="Y7" s="20" t="str">
        <f>TEXT(WEEKDAY(DATE(CalendarYear,1,23),1),"jjj")</f>
        <v>jeu</v>
      </c>
      <c r="Z7" s="20" t="str">
        <f>TEXT(WEEKDAY(DATE(CalendarYear,1,24),1),"jjj")</f>
        <v>ven</v>
      </c>
      <c r="AA7" s="20" t="str">
        <f>TEXT(WEEKDAY(DATE(CalendarYear,1,25),1),"jjj")</f>
        <v>sam</v>
      </c>
      <c r="AB7" s="20" t="str">
        <f>TEXT(WEEKDAY(DATE(CalendarYear,1,26),1),"jjj")</f>
        <v>dim</v>
      </c>
      <c r="AC7" s="20" t="str">
        <f>TEXT(WEEKDAY(DATE(CalendarYear,1,27),1),"jjj")</f>
        <v>lun</v>
      </c>
      <c r="AD7" s="20" t="str">
        <f>TEXT(WEEKDAY(DATE(CalendarYear,1,28),1),"jjj")</f>
        <v>mar</v>
      </c>
      <c r="AE7" s="20" t="str">
        <f>TEXT(WEEKDAY(DATE(CalendarYear,1,29),1),"jjj")</f>
        <v>mer</v>
      </c>
      <c r="AF7" s="20" t="str">
        <f>TEXT(WEEKDAY(DATE(CalendarYear,1,30),1),"jjj")</f>
        <v>jeu</v>
      </c>
      <c r="AG7" s="20" t="str">
        <f>TEXT(WEEKDAY(DATE(CalendarYear,1,31),1),"jjj")</f>
        <v>ven</v>
      </c>
      <c r="AH7" s="7"/>
    </row>
    <row r="8" spans="1: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35</v>
      </c>
      <c r="AH8" s="21" t="s">
        <v>36</v>
      </c>
    </row>
    <row r="9" spans="1:34" ht="30" customHeight="1">
      <c r="B9" s="2" t="s">
        <v>60</v>
      </c>
      <c r="C9" s="1"/>
      <c r="D9" s="1"/>
      <c r="E9" s="18" t="s">
        <v>2</v>
      </c>
      <c r="F9" s="18" t="s">
        <v>2</v>
      </c>
      <c r="G9" s="18" t="s">
        <v>2</v>
      </c>
      <c r="H9" s="18" t="s">
        <v>2</v>
      </c>
      <c r="I9" s="1"/>
      <c r="J9" s="1"/>
      <c r="K9" s="1"/>
      <c r="L9" s="1"/>
      <c r="M9" s="1"/>
      <c r="N9" s="1"/>
      <c r="O9" s="1" t="s">
        <v>2</v>
      </c>
      <c r="P9" s="1"/>
      <c r="Q9" s="1"/>
      <c r="R9" s="1"/>
      <c r="S9" s="1"/>
      <c r="T9" s="1"/>
      <c r="U9" s="1"/>
      <c r="V9" s="1"/>
      <c r="W9" s="1"/>
      <c r="X9" s="1"/>
      <c r="Y9" s="1"/>
      <c r="Z9" s="1"/>
      <c r="AA9" s="1"/>
      <c r="AB9" s="1"/>
      <c r="AC9" s="1"/>
      <c r="AD9" s="1"/>
      <c r="AE9" s="1"/>
      <c r="AF9" s="1"/>
      <c r="AG9" s="1"/>
      <c r="AH9" s="3">
        <f>COUNTA(Janvier!$C9:$AG9)</f>
        <v>5</v>
      </c>
    </row>
    <row r="10" spans="1:34" ht="30" customHeight="1">
      <c r="B10" s="2" t="s">
        <v>61</v>
      </c>
      <c r="C10" s="1"/>
      <c r="D10" s="1"/>
      <c r="E10" s="1"/>
      <c r="F10" s="1"/>
      <c r="G10" s="1" t="s">
        <v>8</v>
      </c>
      <c r="H10" s="1" t="s">
        <v>8</v>
      </c>
      <c r="I10" s="1"/>
      <c r="J10" s="1"/>
      <c r="K10" s="1"/>
      <c r="L10" s="1"/>
      <c r="M10" s="1" t="s">
        <v>6</v>
      </c>
      <c r="N10" s="1"/>
      <c r="O10" s="1"/>
      <c r="P10" s="1"/>
      <c r="Q10" s="1"/>
      <c r="R10" s="1"/>
      <c r="S10" s="1"/>
      <c r="T10" s="1"/>
      <c r="U10" s="1"/>
      <c r="V10" s="1" t="s">
        <v>8</v>
      </c>
      <c r="W10" s="1"/>
      <c r="X10" s="1"/>
      <c r="Y10" s="1"/>
      <c r="Z10" s="1"/>
      <c r="AA10" s="1" t="s">
        <v>2</v>
      </c>
      <c r="AB10" s="1" t="s">
        <v>2</v>
      </c>
      <c r="AC10" s="1" t="s">
        <v>2</v>
      </c>
      <c r="AD10" s="1"/>
      <c r="AE10" s="1"/>
      <c r="AF10" s="1"/>
      <c r="AG10" s="1"/>
      <c r="AH10" s="3">
        <f>COUNTA(Janvier!$C10:$AG10)</f>
        <v>7</v>
      </c>
    </row>
    <row r="11" spans="1:34" ht="30" customHeight="1">
      <c r="B11" s="2" t="s">
        <v>62</v>
      </c>
      <c r="C11" s="1"/>
      <c r="D11" s="1"/>
      <c r="E11" s="1" t="s">
        <v>6</v>
      </c>
      <c r="F11" s="1"/>
      <c r="G11" s="1"/>
      <c r="H11" s="1"/>
      <c r="I11" s="1"/>
      <c r="J11" s="1"/>
      <c r="K11" s="1"/>
      <c r="L11" s="1"/>
      <c r="M11" s="1"/>
      <c r="N11" s="1"/>
      <c r="O11" s="1"/>
      <c r="P11" s="1" t="s">
        <v>8</v>
      </c>
      <c r="Q11" s="1"/>
      <c r="R11" s="1"/>
      <c r="S11" s="1"/>
      <c r="T11" s="1"/>
      <c r="U11" s="1"/>
      <c r="V11" s="1"/>
      <c r="W11" s="1"/>
      <c r="X11" s="1"/>
      <c r="Y11" s="1"/>
      <c r="Z11" s="1"/>
      <c r="AA11" s="1"/>
      <c r="AB11" s="1"/>
      <c r="AC11" s="1"/>
      <c r="AD11" s="1"/>
      <c r="AE11" s="1" t="s">
        <v>8</v>
      </c>
      <c r="AF11" s="1"/>
      <c r="AG11" s="1"/>
      <c r="AH11" s="3">
        <f>COUNTA(Janvier!$C11:$AG11)</f>
        <v>3</v>
      </c>
    </row>
    <row r="12" spans="1:34" ht="30" customHeight="1">
      <c r="B12" s="2" t="s">
        <v>63</v>
      </c>
      <c r="C12" s="1"/>
      <c r="D12" s="1"/>
      <c r="E12" s="1"/>
      <c r="F12" s="1"/>
      <c r="G12" s="1"/>
      <c r="H12" s="1"/>
      <c r="I12" s="1" t="s">
        <v>6</v>
      </c>
      <c r="J12" s="1"/>
      <c r="K12" s="1"/>
      <c r="L12" s="1"/>
      <c r="M12" s="1"/>
      <c r="N12" s="1"/>
      <c r="O12" s="1"/>
      <c r="P12" s="1"/>
      <c r="Q12" s="1"/>
      <c r="R12" s="1"/>
      <c r="S12" s="1"/>
      <c r="T12" s="1"/>
      <c r="U12" s="1" t="s">
        <v>2</v>
      </c>
      <c r="V12" s="1" t="s">
        <v>2</v>
      </c>
      <c r="W12" s="1" t="s">
        <v>2</v>
      </c>
      <c r="X12" s="1"/>
      <c r="Y12" s="1"/>
      <c r="Z12" s="1"/>
      <c r="AA12" s="1"/>
      <c r="AB12" s="1"/>
      <c r="AC12" s="1"/>
      <c r="AD12" s="1"/>
      <c r="AE12" s="1"/>
      <c r="AF12" s="1"/>
      <c r="AG12" s="1"/>
      <c r="AH12" s="3">
        <f>COUNTA(Janvier!$C12:$AG12)</f>
        <v>4</v>
      </c>
    </row>
    <row r="13" spans="1:34" ht="30" customHeight="1">
      <c r="B13" s="2"/>
      <c r="C13" s="1"/>
      <c r="D13" s="1"/>
      <c r="E13" s="1"/>
      <c r="F13" s="1" t="s">
        <v>8</v>
      </c>
      <c r="G13" s="1" t="s">
        <v>2</v>
      </c>
      <c r="H13" s="1" t="s">
        <v>2</v>
      </c>
      <c r="I13" s="1"/>
      <c r="J13" s="1"/>
      <c r="K13" s="1"/>
      <c r="L13" s="1"/>
      <c r="M13" s="1"/>
      <c r="N13" s="1"/>
      <c r="O13" s="1"/>
      <c r="P13" s="1"/>
      <c r="Q13" s="1"/>
      <c r="R13" s="1"/>
      <c r="S13" s="1" t="s">
        <v>8</v>
      </c>
      <c r="T13" s="1"/>
      <c r="U13" s="1"/>
      <c r="V13" s="1"/>
      <c r="W13" s="1"/>
      <c r="X13" s="1"/>
      <c r="Y13" s="1"/>
      <c r="Z13" s="1" t="s">
        <v>8</v>
      </c>
      <c r="AA13" s="1"/>
      <c r="AB13" s="1"/>
      <c r="AC13" s="1"/>
      <c r="AD13" s="1"/>
      <c r="AE13" s="1"/>
      <c r="AF13" s="1"/>
      <c r="AG13" s="1" t="s">
        <v>2</v>
      </c>
      <c r="AH13" s="3">
        <f>COUNTA(Janvier!$C13:$AG13)</f>
        <v>6</v>
      </c>
    </row>
    <row r="14" spans="1:34" ht="30" customHeight="1">
      <c r="B14" s="5" t="str">
        <f>NomMois&amp;" total"</f>
        <v>Janvier total</v>
      </c>
      <c r="C14" s="4">
        <f>SUBTOTAL(103,Janvier!$C$9:$C$13)</f>
        <v>0</v>
      </c>
      <c r="D14" s="4">
        <f>SUBTOTAL(103,Janvier!$D$9:$D$13)</f>
        <v>0</v>
      </c>
      <c r="E14" s="4">
        <f>SUBTOTAL(103,Janvier!$E$9:$E$13)</f>
        <v>2</v>
      </c>
      <c r="F14" s="4">
        <f>SUBTOTAL(103,Janvier!$F$9:$F$13)</f>
        <v>2</v>
      </c>
      <c r="G14" s="4">
        <f>SUBTOTAL(103,Janvier!$G$9:$G$13)</f>
        <v>3</v>
      </c>
      <c r="H14" s="4">
        <f>SUBTOTAL(103,Janvier!$H$9:$H$13)</f>
        <v>3</v>
      </c>
      <c r="I14" s="4">
        <f>SUBTOTAL(103,Janvier!$I$9:$I$13)</f>
        <v>1</v>
      </c>
      <c r="J14" s="4">
        <f>SUBTOTAL(103,Janvier!$J$9:$J$13)</f>
        <v>0</v>
      </c>
      <c r="K14" s="4">
        <f>SUBTOTAL(103,Janvier!$K$9:$K$13)</f>
        <v>0</v>
      </c>
      <c r="L14" s="4">
        <f>SUBTOTAL(103,Janvier!$L$9:$L$13)</f>
        <v>0</v>
      </c>
      <c r="M14" s="4">
        <f>SUBTOTAL(103,Janvier!$M$9:$M$13)</f>
        <v>1</v>
      </c>
      <c r="N14" s="4">
        <f>SUBTOTAL(103,Janvier!$N$9:$N$13)</f>
        <v>0</v>
      </c>
      <c r="O14" s="4">
        <f>SUBTOTAL(103,Janvier!$O$9:$O$13)</f>
        <v>1</v>
      </c>
      <c r="P14" s="4">
        <f>SUBTOTAL(103,Janvier!$P$9:$P$13)</f>
        <v>1</v>
      </c>
      <c r="Q14" s="4">
        <f>SUBTOTAL(103,Janvier!$Q$9:$Q$13)</f>
        <v>0</v>
      </c>
      <c r="R14" s="4">
        <f>SUBTOTAL(103,Janvier!$R$9:$R$13)</f>
        <v>0</v>
      </c>
      <c r="S14" s="4">
        <f>SUBTOTAL(103,Janvier!$S$9:$S$13)</f>
        <v>1</v>
      </c>
      <c r="T14" s="4">
        <f>SUBTOTAL(103,Janvier!$T$9:$T$13)</f>
        <v>0</v>
      </c>
      <c r="U14" s="4">
        <f>SUBTOTAL(103,Janvier!$U$9:$U$13)</f>
        <v>1</v>
      </c>
      <c r="V14" s="4">
        <f>SUBTOTAL(103,Janvier!$V$9:$V$13)</f>
        <v>2</v>
      </c>
      <c r="W14" s="4">
        <f>SUBTOTAL(103,Janvier!$W$9:$W$13)</f>
        <v>1</v>
      </c>
      <c r="X14" s="4">
        <f>SUBTOTAL(103,Janvier!$X$9:$X$13)</f>
        <v>0</v>
      </c>
      <c r="Y14" s="4">
        <f>SUBTOTAL(103,Janvier!$Y$9:$Y$13)</f>
        <v>0</v>
      </c>
      <c r="Z14" s="4">
        <f>SUBTOTAL(103,Janvier!$Z$9:$Z$13)</f>
        <v>1</v>
      </c>
      <c r="AA14" s="4">
        <f>SUBTOTAL(103,Janvier!$AA$9:$AA$13)</f>
        <v>1</v>
      </c>
      <c r="AB14" s="4">
        <f>SUBTOTAL(103,Janvier!$AB$9:$AB$13)</f>
        <v>1</v>
      </c>
      <c r="AC14" s="4">
        <f>SUBTOTAL(103,Janvier!$AC$9:$AC$13)</f>
        <v>1</v>
      </c>
      <c r="AD14" s="4">
        <f>SUBTOTAL(103,Janvier!$AD$9:$AD$13)</f>
        <v>0</v>
      </c>
      <c r="AE14" s="4">
        <f>SUBTOTAL(103,Janvier!$AE$9:$AE$13)</f>
        <v>1</v>
      </c>
      <c r="AF14" s="4">
        <f>SUBTOTAL(103,Janvier!$AF$9:$AF$13)</f>
        <v>0</v>
      </c>
      <c r="AG14" s="4">
        <f>SUBTOTAL(103,Janvier!$AG$9:$AG$13)</f>
        <v>1</v>
      </c>
      <c r="AH14" s="4">
        <f>SUBTOTAL(109,Janvier[Total des jours])</f>
        <v>25</v>
      </c>
    </row>
  </sheetData>
  <mergeCells count="6">
    <mergeCell ref="C6:AG6"/>
    <mergeCell ref="D4:E4"/>
    <mergeCell ref="G4:I4"/>
    <mergeCell ref="K4:L4"/>
    <mergeCell ref="O4:R4"/>
    <mergeCell ref="T4:W4"/>
  </mergeCells>
  <phoneticPr fontId="32" type="noConversion"/>
  <conditionalFormatting sqref="C9:AG13">
    <cfRule type="expression" priority="3" stopIfTrue="1">
      <formula>C9=""</formula>
    </cfRule>
    <cfRule type="expression" dxfId="330" priority="8" stopIfTrue="1">
      <formula>C9=CléPersonnalisée2</formula>
    </cfRule>
    <cfRule type="expression" dxfId="329" priority="9" stopIfTrue="1">
      <formula>C9=CléPersonnalisée1</formula>
    </cfRule>
    <cfRule type="expression" dxfId="328" priority="10" stopIfTrue="1">
      <formula>C9=CléMaladie</formula>
    </cfRule>
    <cfRule type="expression" dxfId="327" priority="11" stopIfTrue="1">
      <formula>C9=CléPersonnel</formula>
    </cfRule>
    <cfRule type="expression" dxfId="326" priority="12" stopIfTrue="1">
      <formula>C9=CléCongé</formula>
    </cfRule>
  </conditionalFormatting>
  <conditionalFormatting sqref="AH9:AH13">
    <cfRule type="dataBar" priority="170">
      <dataBar>
        <cfvo type="num" val="0"/>
        <cfvo type="num" val="31"/>
        <color theme="4"/>
      </dataBar>
      <extLst>
        <ext xmlns:x14="http://schemas.microsoft.com/office/spreadsheetml/2009/9/main" uri="{B025F937-C7B1-47D3-B67F-A62EFF666E3E}">
          <x14:id>{ECCE2C3C-1B01-4700-B60E-DAAAB19A9C1A}</x14:id>
        </ext>
      </extLst>
    </cfRule>
  </conditionalFormatting>
  <dataValidations count="16">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FAB55708-481E-2E48-9F66-3C8E8545F6B0}"/>
    <dataValidation allowBlank="1" showInputMessage="1" showErrorMessage="1" prompt="La lettre « C » indique une absence pour cause de congé" sqref="C4" xr:uid="{9058FE4E-B17F-E943-9A83-5582DE92BDB6}"/>
    <dataValidation allowBlank="1" showInputMessage="1" showErrorMessage="1" prompt="La lettre « P » indique une absence pour motifs personnels" sqref="F4" xr:uid="{C4744D51-42B4-0342-B86A-BE9D6063B807}"/>
    <dataValidation allowBlank="1" showInputMessage="1" showErrorMessage="1" prompt="La lettre « M » indique une absence pour cause de maladie" sqref="J4" xr:uid="{EBA2AA00-2D66-0547-8889-4D34A2A72241}"/>
    <dataValidation allowBlank="1" showInputMessage="1" showErrorMessage="1" prompt="Entrez une lettre et personnalisez l’étiquette à droite pour ajouter un élément de clé" sqref="N4 S4" xr:uid="{FEABEF84-83D3-7D42-BA7C-926AE09CBA1E}"/>
    <dataValidation allowBlank="1" showInputMessage="1" showErrorMessage="1" prompt="Entrez une étiquette pour décrire la clé personnalisée à gauche" sqref="O4 T4" xr:uid="{12884A59-5F75-0848-A6CD-363E691B1D2A}"/>
    <dataValidation allowBlank="1" showInputMessage="1" showErrorMessage="1" prompt="Le Calendrier des absences des employés suit les absences exprimées en jours pour chaque mois. Il existe 13 feuilles de calcul, 12 mensuelles et la dernière pour les noms des employés. Suivez les absences du mois de janvier dans cette feuille de calcul" sqref="A1" xr:uid="{00000000-0002-0000-0000-00000D000000}"/>
    <dataValidation allowBlank="1" showInputMessage="1" showErrorMessage="1" prompt="Entrez l’année dans la cellule ci-dessous" sqref="AH5" xr:uid="{00000000-0002-0000-0000-00000E000000}"/>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DF4494D1-42F6-BB47-AFAB-18021A3441AC}"/>
    <dataValidation allowBlank="1" showInputMessage="1" showErrorMessage="1" prompt="Le titre mis à jour automatiquement figure dans cette cellule. Pour modifier le titre, mettez à jour la cellule B1 de la feuille de calcul Janvier" sqref="B2" xr:uid="{20FFCBA6-5698-4E4B-9E75-1B2FD678A862}"/>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FE3C1916-A13B-EF44-83B6-EF87C12834B2}"/>
    <dataValidation allowBlank="1" showInputMessage="1" showErrorMessage="1" prompt="Calcule automatiquement le nombre total de jours d’absence d’un employé ce mois-ci dans cette colonne" sqref="AH8" xr:uid="{17D68424-3ED0-774F-A440-37779B4905D7}"/>
    <dataValidation allowBlank="1" showInputMessage="1" showErrorMessage="1" prompt="Entrez l’année dans cette cellule" sqref="AH6" xr:uid="{00000000-0002-0000-0000-000000000000}"/>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F6CAA384-C773-F044-845D-980CB65F95B2}"/>
    <dataValidation allowBlank="1" showInputMessage="1" showErrorMessage="1" prompt="Cette ligne définit les clés utilisées dans le tableau : la cellule C4 un congé, la G4 personnel, et K4 un congé maladie. Les cellules N4 et R4 sont personnalisables " sqref="B4" xr:uid="{254C5299-B8DC-4E28-AD10-F93B45AED253}"/>
    <dataValidation allowBlank="1" showInputMessage="1" showErrorMessage="1" prompt="Le titre de la feuille de calcul figure dans cette cellule. " sqref="B1" xr:uid="{F61E6882-FE5C-43CD-B756-4B881652736D}"/>
  </dataValidations>
  <pageMargins left="0.7" right="0.7" top="0.75" bottom="0.75" header="0.3" footer="0.3"/>
  <pageSetup paperSize="9" fitToHeight="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gradient="0">
              <x14:cfvo type="num">
                <xm:f>0</xm:f>
              </x14:cfvo>
              <x14:cfvo type="num">
                <xm:f>31</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F000000}">
          <x14:formula1>
            <xm:f>'Noms des Associations'!$B$4:$B$8</xm:f>
          </x14:formula1>
          <xm:sqref>B9:B13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sheetPr>
  <dimension ref="B1:AH14"/>
  <sheetViews>
    <sheetView showGridLines="0" zoomScaleNormal="100" workbookViewId="0">
      <selection activeCell="B1" sqref="B1:R1"/>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29" t="s">
        <v>47</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92.2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TEXT(WEEKDAY(DATE(CalendarYear,10,1),1),"jjj")</f>
        <v>mer</v>
      </c>
      <c r="D7" s="20" t="str">
        <f>TEXT(WEEKDAY(DATE(CalendarYear,10,2),1),"jjj")</f>
        <v>jeu</v>
      </c>
      <c r="E7" s="20" t="str">
        <f>TEXT(WEEKDAY(DATE(CalendarYear,10,3),1),"jjj")</f>
        <v>ven</v>
      </c>
      <c r="F7" s="20" t="str">
        <f>TEXT(WEEKDAY(DATE(CalendarYear,10,4),1),"jjj")</f>
        <v>sam</v>
      </c>
      <c r="G7" s="20" t="str">
        <f>TEXT(WEEKDAY(DATE(CalendarYear,10,5),1),"jjj")</f>
        <v>dim</v>
      </c>
      <c r="H7" s="20" t="str">
        <f>TEXT(WEEKDAY(DATE(CalendarYear,10,6),1),"jjj")</f>
        <v>lun</v>
      </c>
      <c r="I7" s="20" t="str">
        <f>TEXT(WEEKDAY(DATE(CalendarYear,10,7),1),"jjj")</f>
        <v>mar</v>
      </c>
      <c r="J7" s="20" t="str">
        <f>TEXT(WEEKDAY(DATE(CalendarYear,10,8),1),"jjj")</f>
        <v>mer</v>
      </c>
      <c r="K7" s="20" t="str">
        <f>TEXT(WEEKDAY(DATE(CalendarYear,10,9),1),"jjj")</f>
        <v>jeu</v>
      </c>
      <c r="L7" s="20" t="str">
        <f>TEXT(WEEKDAY(DATE(CalendarYear,10,10),1),"jjj")</f>
        <v>ven</v>
      </c>
      <c r="M7" s="20" t="str">
        <f>TEXT(WEEKDAY(DATE(CalendarYear,10,11),1),"jjj")</f>
        <v>sam</v>
      </c>
      <c r="N7" s="20" t="str">
        <f>TEXT(WEEKDAY(DATE(CalendarYear,10,12),1),"jjj")</f>
        <v>dim</v>
      </c>
      <c r="O7" s="20" t="str">
        <f>TEXT(WEEKDAY(DATE(CalendarYear,10,13),1),"jjj")</f>
        <v>lun</v>
      </c>
      <c r="P7" s="20" t="str">
        <f>TEXT(WEEKDAY(DATE(CalendarYear,10,14),1),"jjj")</f>
        <v>mar</v>
      </c>
      <c r="Q7" s="20" t="str">
        <f>TEXT(WEEKDAY(DATE(CalendarYear,10,15),1),"jjj")</f>
        <v>mer</v>
      </c>
      <c r="R7" s="20" t="str">
        <f>TEXT(WEEKDAY(DATE(CalendarYear,10,16),1),"jjj")</f>
        <v>jeu</v>
      </c>
      <c r="S7" s="20" t="str">
        <f>TEXT(WEEKDAY(DATE(CalendarYear,10,17),1),"jjj")</f>
        <v>ven</v>
      </c>
      <c r="T7" s="20" t="str">
        <f>TEXT(WEEKDAY(DATE(CalendarYear,10,18),1),"jjj")</f>
        <v>sam</v>
      </c>
      <c r="U7" s="20" t="str">
        <f>TEXT(WEEKDAY(DATE(CalendarYear,10,19),1),"jjj")</f>
        <v>dim</v>
      </c>
      <c r="V7" s="20" t="str">
        <f>TEXT(WEEKDAY(DATE(CalendarYear,10,20),1),"jjj")</f>
        <v>lun</v>
      </c>
      <c r="W7" s="20" t="str">
        <f>TEXT(WEEKDAY(DATE(CalendarYear,10,21),1),"jjj")</f>
        <v>mar</v>
      </c>
      <c r="X7" s="20" t="str">
        <f>TEXT(WEEKDAY(DATE(CalendarYear,10,22),1),"jjj")</f>
        <v>mer</v>
      </c>
      <c r="Y7" s="20" t="str">
        <f>TEXT(WEEKDAY(DATE(CalendarYear,10,23),1),"jjj")</f>
        <v>jeu</v>
      </c>
      <c r="Z7" s="20" t="str">
        <f>TEXT(WEEKDAY(DATE(CalendarYear,10,24),1),"jjj")</f>
        <v>ven</v>
      </c>
      <c r="AA7" s="20" t="str">
        <f>TEXT(WEEKDAY(DATE(CalendarYear,10,25),1),"jjj")</f>
        <v>sam</v>
      </c>
      <c r="AB7" s="20" t="str">
        <f>TEXT(WEEKDAY(DATE(CalendarYear,10,26),1),"jjj")</f>
        <v>dim</v>
      </c>
      <c r="AC7" s="20" t="str">
        <f>TEXT(WEEKDAY(DATE(CalendarYear,10,27),1),"jjj")</f>
        <v>lun</v>
      </c>
      <c r="AD7" s="20" t="str">
        <f>TEXT(WEEKDAY(DATE(CalendarYear,10,28),1),"jjj")</f>
        <v>mar</v>
      </c>
      <c r="AE7" s="20" t="str">
        <f>TEXT(WEEKDAY(DATE(CalendarYear,10,29),1),"jjj")</f>
        <v>mer</v>
      </c>
      <c r="AF7" s="20" t="str">
        <f>TEXT(WEEKDAY(DATE(CalendarYear,10,30),1),"jjj")</f>
        <v>jeu</v>
      </c>
      <c r="AG7" s="20" t="str">
        <f>TEXT(WEEKDAY(DATE(CalendarYear,10,31),1),"jjj")</f>
        <v>ven</v>
      </c>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35</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COUNTA(Octobre[[#This Row],[1]:[31]])</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COUNTA(Octobre[[#This Row],[1]:[31]])</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COUNTA(Octobre[[#This Row],[1]:[31]])</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COUNTA(Octobre[[#This Row],[1]:[31]])</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COUNTA(Octobre[[#This Row],[1]:[31]])</f>
        <v>0</v>
      </c>
    </row>
    <row r="14" spans="2:34" ht="30" customHeight="1">
      <c r="B14" s="5" t="str">
        <f>NomMois&amp;" Total"</f>
        <v>Octobre Total</v>
      </c>
      <c r="C14" s="4">
        <f>SUBTOTAL(103,Octobre[1])</f>
        <v>0</v>
      </c>
      <c r="D14" s="4">
        <f>SUBTOTAL(103,Octobre[2])</f>
        <v>0</v>
      </c>
      <c r="E14" s="4">
        <f>SUBTOTAL(103,Octobre[3])</f>
        <v>0</v>
      </c>
      <c r="F14" s="4">
        <f>SUBTOTAL(103,Octobre[4])</f>
        <v>0</v>
      </c>
      <c r="G14" s="4">
        <f>SUBTOTAL(103,Octobre[5])</f>
        <v>0</v>
      </c>
      <c r="H14" s="4">
        <f>SUBTOTAL(103,Octobre[6])</f>
        <v>0</v>
      </c>
      <c r="I14" s="4">
        <f>SUBTOTAL(103,Octobre[7])</f>
        <v>0</v>
      </c>
      <c r="J14" s="4">
        <f>SUBTOTAL(103,Octobre[8])</f>
        <v>0</v>
      </c>
      <c r="K14" s="4">
        <f>SUBTOTAL(103,Octobre[9])</f>
        <v>0</v>
      </c>
      <c r="L14" s="4">
        <f>SUBTOTAL(103,Octobre[10])</f>
        <v>0</v>
      </c>
      <c r="M14" s="4">
        <f>SUBTOTAL(103,Octobre[11])</f>
        <v>0</v>
      </c>
      <c r="N14" s="4">
        <f>SUBTOTAL(103,Octobre[12])</f>
        <v>0</v>
      </c>
      <c r="O14" s="4">
        <f>SUBTOTAL(103,Octobre[13])</f>
        <v>0</v>
      </c>
      <c r="P14" s="4">
        <f>SUBTOTAL(103,Octobre[14])</f>
        <v>0</v>
      </c>
      <c r="Q14" s="4">
        <f>SUBTOTAL(103,Octobre[15])</f>
        <v>0</v>
      </c>
      <c r="R14" s="4">
        <f>SUBTOTAL(103,Octobre[16])</f>
        <v>0</v>
      </c>
      <c r="S14" s="4">
        <f>SUBTOTAL(103,Octobre[17])</f>
        <v>0</v>
      </c>
      <c r="T14" s="4">
        <f>SUBTOTAL(103,Octobre[18])</f>
        <v>0</v>
      </c>
      <c r="U14" s="4">
        <f>SUBTOTAL(103,Octobre[19])</f>
        <v>0</v>
      </c>
      <c r="V14" s="4">
        <f>SUBTOTAL(103,Octobre[20])</f>
        <v>0</v>
      </c>
      <c r="W14" s="4">
        <f>SUBTOTAL(103,Octobre[21])</f>
        <v>0</v>
      </c>
      <c r="X14" s="4">
        <f>SUBTOTAL(103,Octobre[22])</f>
        <v>0</v>
      </c>
      <c r="Y14" s="4">
        <f>SUBTOTAL(103,Octobre[23])</f>
        <v>0</v>
      </c>
      <c r="Z14" s="4">
        <f>SUBTOTAL(103,Octobre[24])</f>
        <v>0</v>
      </c>
      <c r="AA14" s="4">
        <f>SUBTOTAL(103,Octobre[25])</f>
        <v>0</v>
      </c>
      <c r="AB14" s="4">
        <f>SUBTOTAL(103,Octobre[26])</f>
        <v>0</v>
      </c>
      <c r="AC14" s="4">
        <f>SUBTOTAL(103,Octobre[27])</f>
        <v>0</v>
      </c>
      <c r="AD14" s="4">
        <f>SUBTOTAL(103,Octobre[28])</f>
        <v>0</v>
      </c>
      <c r="AE14" s="4">
        <f>SUBTOTAL(103,Octobre[29])</f>
        <v>0</v>
      </c>
      <c r="AF14" s="4">
        <f>SUBTOTAL(109,Octobre[30])</f>
        <v>0</v>
      </c>
      <c r="AG14" s="4">
        <f>SUBTOTAL(109,Octobre[31])</f>
        <v>0</v>
      </c>
      <c r="AH14" s="4">
        <f>SUBTOTAL(109,Octobre[Total des jours])</f>
        <v>0</v>
      </c>
    </row>
  </sheetData>
  <mergeCells count="6">
    <mergeCell ref="C6:AG6"/>
    <mergeCell ref="D4:E4"/>
    <mergeCell ref="G4:I4"/>
    <mergeCell ref="K4:L4"/>
    <mergeCell ref="O4:R4"/>
    <mergeCell ref="T4:W4"/>
  </mergeCells>
  <phoneticPr fontId="32" type="noConversion"/>
  <conditionalFormatting sqref="C9:AG13">
    <cfRule type="expression" priority="1" stopIfTrue="1">
      <formula>C9=""</formula>
    </cfRule>
    <cfRule type="expression" dxfId="283" priority="2" stopIfTrue="1">
      <formula>C9=CléPersonnalisée2</formula>
    </cfRule>
    <cfRule type="expression" dxfId="282" priority="3" stopIfTrue="1">
      <formula>C9=CléPersonnalisée1</formula>
    </cfRule>
    <cfRule type="expression" dxfId="281" priority="4" stopIfTrue="1">
      <formula>C9=CléMaladie</formula>
    </cfRule>
    <cfRule type="expression" dxfId="280" priority="5" stopIfTrue="1">
      <formula>C9=CléPersonnel</formula>
    </cfRule>
    <cfRule type="expression" dxfId="279" priority="6" stopIfTrue="1">
      <formula>C9=CléCongé</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{F32A08EA-50E8-4B5F-AB1F-5A7739FBC16C}</x14:id>
        </ext>
      </extLst>
    </cfRule>
  </conditionalFormatting>
  <dataValidations count="14">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6C3B7250-7883-E447-A5BD-190F9EC85610}"/>
    <dataValidation allowBlank="1" showInputMessage="1" showErrorMessage="1" prompt="Calcule automatiquement le nombre total de jours d’absence d’un employé durant ce mois dans cette colonne" sqref="AH8" xr:uid="{460C2673-D90D-514F-89AA-D6D7BDC2B7D4}"/>
    <dataValidation allowBlank="1" showInputMessage="1" showErrorMessage="1" prompt="Suivez les absences du mois d’octobre dans cette feuille de calcul" sqref="A1" xr:uid="{00000000-0002-0000-0900-000003000000}"/>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FFDA1A94-F5FF-4F61-8B40-4181CBFBDC13}"/>
    <dataValidation allowBlank="1" showInputMessage="1" showErrorMessage="1" prompt="La lettre « C » indique une absence pour cause de congé" sqref="C4" xr:uid="{77D4A6ED-37FE-4C41-866F-4469E391DB42}"/>
    <dataValidation allowBlank="1" showInputMessage="1" showErrorMessage="1" prompt="La lettre « P » indique une absence pour motifs personnels" sqref="F4" xr:uid="{4E51EA47-4815-4AFA-B6B0-9562509EF806}"/>
    <dataValidation allowBlank="1" showInputMessage="1" showErrorMessage="1" prompt="La lettre « M » indique une absence pour cause de maladie" sqref="J4" xr:uid="{79A715A8-46AF-423A-A573-B03114B08C01}"/>
    <dataValidation allowBlank="1" showInputMessage="1" showErrorMessage="1" prompt="Entrez une lettre et personnalisez l’étiquette à droite pour ajouter un élément de clé" sqref="S4 N4" xr:uid="{6D213878-7396-498C-8A39-1B6A3B5D196F}"/>
    <dataValidation allowBlank="1" showInputMessage="1" showErrorMessage="1" prompt="Entrez une étiquette pour décrire la clé personnalisée à gauche" sqref="T4 O4" xr:uid="{7AE120D5-76FD-4FFD-BC42-44B14FCE3EA7}"/>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00000000-0002-0000-0900-00000C000000}"/>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E2589F34-72AD-7946-9C30-9FD4409BBCB4}"/>
    <dataValidation allowBlank="1" showInputMessage="1" showErrorMessage="1" prompt="Cette ligne définit les clés utilisées dans le tableau : la cellule C4 un congé, la G4 personnel, et K4 un congé maladie. Les cellules N4 et R4 sont personnalisables " sqref="B4" xr:uid="{2F5073EE-42B9-46B4-AFA7-B44BD32E9B38}"/>
    <dataValidation allowBlank="1" showInputMessage="1" showErrorMessage="1" prompt="Le titre de la feuille de calcul figure dans cette cellule. " sqref="B1" xr:uid="{67AA29C6-2B9D-4754-B556-CD3B7525A8CC}"/>
    <dataValidation allowBlank="1" showInputMessage="1" showErrorMessage="1" prompt="Entrez l’année dans cette cellule" sqref="AH6" xr:uid="{CDE73BD7-2F19-44FF-AF19-BEC86526EF64}"/>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2A08EA-50E8-4B5F-AB1F-5A7739FBC16C}">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E000000}">
          <x14:formula1>
            <xm:f>'Noms des Associations'!$B$4:$B$8</xm:f>
          </x14:formula1>
          <xm:sqref>B9:B13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sheetPr>
  <dimension ref="B1:AH14"/>
  <sheetViews>
    <sheetView showGridLines="0" zoomScaleNormal="100" workbookViewId="0">
      <selection activeCell="B1" sqref="B1:R1"/>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29" t="s">
        <v>48</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100.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TEXT(WEEKDAY(DATE(CalendarYear,11,1),1),"jjj")</f>
        <v>sam</v>
      </c>
      <c r="D7" s="20" t="str">
        <f>TEXT(WEEKDAY(DATE(CalendarYear,11,2),1),"jjj")</f>
        <v>dim</v>
      </c>
      <c r="E7" s="20" t="str">
        <f>TEXT(WEEKDAY(DATE(CalendarYear,11,3),1),"jjj")</f>
        <v>lun</v>
      </c>
      <c r="F7" s="20" t="str">
        <f>TEXT(WEEKDAY(DATE(CalendarYear,11,4),1),"jjj")</f>
        <v>mar</v>
      </c>
      <c r="G7" s="20" t="str">
        <f>TEXT(WEEKDAY(DATE(CalendarYear,11,5),1),"jjj")</f>
        <v>mer</v>
      </c>
      <c r="H7" s="20" t="str">
        <f>TEXT(WEEKDAY(DATE(CalendarYear,11,6),1),"jjj")</f>
        <v>jeu</v>
      </c>
      <c r="I7" s="20" t="str">
        <f>TEXT(WEEKDAY(DATE(CalendarYear,11,7),1),"jjj")</f>
        <v>ven</v>
      </c>
      <c r="J7" s="20" t="str">
        <f>TEXT(WEEKDAY(DATE(CalendarYear,11,8),1),"jjj")</f>
        <v>sam</v>
      </c>
      <c r="K7" s="20" t="str">
        <f>TEXT(WEEKDAY(DATE(CalendarYear,11,9),1),"jjj")</f>
        <v>dim</v>
      </c>
      <c r="L7" s="20" t="str">
        <f>TEXT(WEEKDAY(DATE(CalendarYear,11,10),1),"jjj")</f>
        <v>lun</v>
      </c>
      <c r="M7" s="20" t="str">
        <f>TEXT(WEEKDAY(DATE(CalendarYear,11,11),1),"jjj")</f>
        <v>mar</v>
      </c>
      <c r="N7" s="20" t="str">
        <f>TEXT(WEEKDAY(DATE(CalendarYear,11,12),1),"jjj")</f>
        <v>mer</v>
      </c>
      <c r="O7" s="20" t="str">
        <f>TEXT(WEEKDAY(DATE(CalendarYear,11,13),1),"jjj")</f>
        <v>jeu</v>
      </c>
      <c r="P7" s="20" t="str">
        <f>TEXT(WEEKDAY(DATE(CalendarYear,11,14),1),"jjj")</f>
        <v>ven</v>
      </c>
      <c r="Q7" s="20" t="str">
        <f>TEXT(WEEKDAY(DATE(CalendarYear,11,15),1),"jjj")</f>
        <v>sam</v>
      </c>
      <c r="R7" s="20" t="str">
        <f>TEXT(WEEKDAY(DATE(CalendarYear,11,16),1),"jjj")</f>
        <v>dim</v>
      </c>
      <c r="S7" s="20" t="str">
        <f>TEXT(WEEKDAY(DATE(CalendarYear,11,17),1),"jjj")</f>
        <v>lun</v>
      </c>
      <c r="T7" s="20" t="str">
        <f>TEXT(WEEKDAY(DATE(CalendarYear,11,18),1),"jjj")</f>
        <v>mar</v>
      </c>
      <c r="U7" s="20" t="str">
        <f>TEXT(WEEKDAY(DATE(CalendarYear,11,19),1),"jjj")</f>
        <v>mer</v>
      </c>
      <c r="V7" s="20" t="str">
        <f>TEXT(WEEKDAY(DATE(CalendarYear,11,20),1),"jjj")</f>
        <v>jeu</v>
      </c>
      <c r="W7" s="20" t="str">
        <f>TEXT(WEEKDAY(DATE(CalendarYear,11,21),1),"jjj")</f>
        <v>ven</v>
      </c>
      <c r="X7" s="20" t="str">
        <f>TEXT(WEEKDAY(DATE(CalendarYear,11,22),1),"jjj")</f>
        <v>sam</v>
      </c>
      <c r="Y7" s="20" t="str">
        <f>TEXT(WEEKDAY(DATE(CalendarYear,11,23),1),"jjj")</f>
        <v>dim</v>
      </c>
      <c r="Z7" s="20" t="str">
        <f>TEXT(WEEKDAY(DATE(CalendarYear,11,24),1),"jjj")</f>
        <v>lun</v>
      </c>
      <c r="AA7" s="20" t="str">
        <f>TEXT(WEEKDAY(DATE(CalendarYear,11,25),1),"jjj")</f>
        <v>mar</v>
      </c>
      <c r="AB7" s="20" t="str">
        <f>TEXT(WEEKDAY(DATE(CalendarYear,11,26),1),"jjj")</f>
        <v>mer</v>
      </c>
      <c r="AC7" s="20" t="str">
        <f>TEXT(WEEKDAY(DATE(CalendarYear,11,27),1),"jjj")</f>
        <v>jeu</v>
      </c>
      <c r="AD7" s="20" t="str">
        <f>TEXT(WEEKDAY(DATE(CalendarYear,11,28),1),"jjj")</f>
        <v>ven</v>
      </c>
      <c r="AE7" s="20" t="str">
        <f>TEXT(WEEKDAY(DATE(CalendarYear,11,29),1),"jjj")</f>
        <v>sam</v>
      </c>
      <c r="AF7" s="20" t="str">
        <f>TEXT(WEEKDAY(DATE(CalendarYear,11,30),1),"jjj")</f>
        <v>dim</v>
      </c>
      <c r="AG7" s="20"/>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38</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COUNTA(Novembre[[#This Row],[1]:[ ]])</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COUNTA(Novembre[[#This Row],[1]:[ ]])</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COUNTA(Novembre[[#This Row],[1]:[ ]])</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COUNTA(Novembre[[#This Row],[1]:[ ]])</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COUNTA(Novembre[[#This Row],[1]:[ ]])</f>
        <v>0</v>
      </c>
    </row>
    <row r="14" spans="2:34" ht="30" customHeight="1">
      <c r="B14" s="5" t="str">
        <f>NomMois&amp;" Total"</f>
        <v>Novembre Total</v>
      </c>
      <c r="C14" s="4">
        <f>SUBTOTAL(103,Novembre[1])</f>
        <v>0</v>
      </c>
      <c r="D14" s="4">
        <f>SUBTOTAL(103,Novembre[2])</f>
        <v>0</v>
      </c>
      <c r="E14" s="4">
        <f>SUBTOTAL(103,Novembre[3])</f>
        <v>0</v>
      </c>
      <c r="F14" s="4">
        <f>SUBTOTAL(103,Novembre[4])</f>
        <v>0</v>
      </c>
      <c r="G14" s="4">
        <f>SUBTOTAL(103,Novembre[5])</f>
        <v>0</v>
      </c>
      <c r="H14" s="4">
        <f>SUBTOTAL(103,Novembre[6])</f>
        <v>0</v>
      </c>
      <c r="I14" s="4">
        <f>SUBTOTAL(103,Novembre[7])</f>
        <v>0</v>
      </c>
      <c r="J14" s="4">
        <f>SUBTOTAL(103,Novembre[8])</f>
        <v>0</v>
      </c>
      <c r="K14" s="4">
        <f>SUBTOTAL(103,Novembre[9])</f>
        <v>0</v>
      </c>
      <c r="L14" s="4">
        <f>SUBTOTAL(103,Novembre[10])</f>
        <v>0</v>
      </c>
      <c r="M14" s="4">
        <f>SUBTOTAL(103,Novembre[11])</f>
        <v>0</v>
      </c>
      <c r="N14" s="4">
        <f>SUBTOTAL(103,Novembre[12])</f>
        <v>0</v>
      </c>
      <c r="O14" s="4">
        <f>SUBTOTAL(103,Novembre[13])</f>
        <v>0</v>
      </c>
      <c r="P14" s="4">
        <f>SUBTOTAL(103,Novembre[14])</f>
        <v>0</v>
      </c>
      <c r="Q14" s="4">
        <f>SUBTOTAL(103,Novembre[15])</f>
        <v>0</v>
      </c>
      <c r="R14" s="4">
        <f>SUBTOTAL(103,Novembre[16])</f>
        <v>0</v>
      </c>
      <c r="S14" s="4">
        <f>SUBTOTAL(103,Novembre[17])</f>
        <v>0</v>
      </c>
      <c r="T14" s="4">
        <f>SUBTOTAL(103,Novembre[18])</f>
        <v>0</v>
      </c>
      <c r="U14" s="4">
        <f>SUBTOTAL(103,Novembre[19])</f>
        <v>0</v>
      </c>
      <c r="V14" s="4">
        <f>SUBTOTAL(103,Novembre[20])</f>
        <v>0</v>
      </c>
      <c r="W14" s="4">
        <f>SUBTOTAL(103,Novembre[21])</f>
        <v>0</v>
      </c>
      <c r="X14" s="4">
        <f>SUBTOTAL(103,Novembre[22])</f>
        <v>0</v>
      </c>
      <c r="Y14" s="4">
        <f>SUBTOTAL(103,Novembre[23])</f>
        <v>0</v>
      </c>
      <c r="Z14" s="4">
        <f>SUBTOTAL(103,Novembre[24])</f>
        <v>0</v>
      </c>
      <c r="AA14" s="4">
        <f>SUBTOTAL(103,Novembre[25])</f>
        <v>0</v>
      </c>
      <c r="AB14" s="4">
        <f>SUBTOTAL(103,Novembre[26])</f>
        <v>0</v>
      </c>
      <c r="AC14" s="4">
        <f>SUBTOTAL(103,Novembre[27])</f>
        <v>0</v>
      </c>
      <c r="AD14" s="4">
        <f>SUBTOTAL(103,Novembre[28])</f>
        <v>0</v>
      </c>
      <c r="AE14" s="4">
        <f>SUBTOTAL(103,Novembre[29])</f>
        <v>0</v>
      </c>
      <c r="AF14" s="4">
        <f>SUBTOTAL(109,Novembre[30])</f>
        <v>0</v>
      </c>
      <c r="AG14" s="4">
        <f>SUBTOTAL(109,Novembre[[ ]])</f>
        <v>0</v>
      </c>
      <c r="AH14" s="4">
        <f>SUBTOTAL(109,Novembre[Total des jours])</f>
        <v>0</v>
      </c>
    </row>
  </sheetData>
  <mergeCells count="6">
    <mergeCell ref="C6:AG6"/>
    <mergeCell ref="D4:E4"/>
    <mergeCell ref="G4:I4"/>
    <mergeCell ref="K4:L4"/>
    <mergeCell ref="O4:R4"/>
    <mergeCell ref="T4:W4"/>
  </mergeCells>
  <phoneticPr fontId="32" type="noConversion"/>
  <conditionalFormatting sqref="C9:AG13">
    <cfRule type="expression" priority="1" stopIfTrue="1">
      <formula>C9=""</formula>
    </cfRule>
    <cfRule type="expression" dxfId="278" priority="2" stopIfTrue="1">
      <formula>C9=CléPersonnalisée2</formula>
    </cfRule>
    <cfRule type="expression" dxfId="277" priority="3" stopIfTrue="1">
      <formula>C9=CléPersonnalisée1</formula>
    </cfRule>
    <cfRule type="expression" dxfId="276" priority="4" stopIfTrue="1">
      <formula>C9=CléMaladie</formula>
    </cfRule>
    <cfRule type="expression" dxfId="275" priority="5" stopIfTrue="1">
      <formula>C9=CléPersonnel</formula>
    </cfRule>
    <cfRule type="expression" dxfId="274" priority="6" stopIfTrue="1">
      <formula>C9=CléCongé</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{27D92E49-5CF1-46DF-AD7A-3A5E92F274F3}</x14:id>
        </ext>
      </extLst>
    </cfRule>
  </conditionalFormatting>
  <dataValidations count="1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97706874-D6EF-7649-8BB0-992E1F25B736}"/>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00000000-0002-0000-0A00-000001000000}"/>
    <dataValidation allowBlank="1" showInputMessage="1" showErrorMessage="1" prompt="Cette ligne définit les clés utilisées dans le tableau : la cellule C4 un congé, la G4 personnel, et K4 un congé maladie. Les cellules N4 et R4 sont personnalisables " sqref="B4" xr:uid="{3DCAEFB8-95FA-4196-8A35-24BECE303FEF}"/>
    <dataValidation allowBlank="1" showInputMessage="1" showErrorMessage="1" prompt="Entrez une étiquette pour décrire la clé personnalisée à gauche" sqref="T4 O4" xr:uid="{66CCF228-D489-4D00-894D-AAE90E3A7171}"/>
    <dataValidation allowBlank="1" showInputMessage="1" showErrorMessage="1" prompt="Entrez une lettre et personnalisez l’étiquette à droite pour ajouter un élément de clé" sqref="S4 N4" xr:uid="{2CA6AEB4-6937-454D-8DF9-FD768C4BD672}"/>
    <dataValidation allowBlank="1" showInputMessage="1" showErrorMessage="1" prompt="La lettre « M » indique une absence pour cause de maladie" sqref="J4" xr:uid="{8B2ADC19-DCAC-4CC6-8A0C-2765526A1B98}"/>
    <dataValidation allowBlank="1" showInputMessage="1" showErrorMessage="1" prompt="La lettre « P » indique une absence pour motifs personnels" sqref="F4" xr:uid="{7CAEA7DA-A157-4B9D-81AC-ED3139ADB8BE}"/>
    <dataValidation allowBlank="1" showInputMessage="1" showErrorMessage="1" prompt="La lettre « C » indique une absence pour cause de congé" sqref="C4" xr:uid="{72BF6829-AE57-4133-BE7D-D7AE00A68CAF}"/>
    <dataValidation allowBlank="1" showInputMessage="1" showErrorMessage="1" prompt="Le titre mis à jour automatiquement figure dans cette cellule. Pour modifier le titre, mettez à jour la cellule B1 de la feuille de calcul Janvier" sqref="B2" xr:uid="{00000000-0002-0000-0A00-000008000000}"/>
    <dataValidation allowBlank="1" showInputMessage="1" showErrorMessage="1" prompt="Suivez les absences du mois de novembre dans cette feuille de calcul" sqref="A1" xr:uid="{00000000-0002-0000-0A00-00000A000000}"/>
    <dataValidation allowBlank="1" showInputMessage="1" showErrorMessage="1" prompt="Calcule automatiquement le nombre total de jours d’absence d’un employé durant ce mois dans cette colonne" sqref="AH8" xr:uid="{689D502A-5D97-B44F-AA8E-4AB5A8802DDE}"/>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DEEC83F4-4C72-7D4D-B442-B00CC4990A25}"/>
    <dataValidation allowBlank="1" showInputMessage="1" showErrorMessage="1" prompt="Le titre de la feuille de calcul figure dans cette cellule. " sqref="B1" xr:uid="{4506E1F0-9651-436A-BC5B-AA7D5C25101F}"/>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2F877007-78FF-4318-9300-AF17925CC53F}"/>
    <dataValidation allowBlank="1" showInputMessage="1" showErrorMessage="1" prompt="Entrez l’année dans cette cellule" sqref="AH6" xr:uid="{141FC8B1-0DD1-45DE-9ADA-51C2412D1A21}"/>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D92E49-5CF1-46DF-AD7A-3A5E92F274F3}">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E000000}">
          <x14:formula1>
            <xm:f>'Noms des Associations'!$B$4:$B$8</xm:f>
          </x14:formula1>
          <xm:sqref>B9:B13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39997558519241921"/>
  </sheetPr>
  <dimension ref="B1:AH14"/>
  <sheetViews>
    <sheetView showGridLines="0" tabSelected="1" zoomScaleNormal="100" workbookViewId="0">
      <selection activeCell="Q2" sqref="Q2"/>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22" t="s">
        <v>49</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95.2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TEXT(WEEKDAY(DATE(CalendarYear,12,1),1),"jjj")</f>
        <v>lun</v>
      </c>
      <c r="D7" s="20" t="str">
        <f>TEXT(WEEKDAY(DATE(CalendarYear,12,2),1),"jjj")</f>
        <v>mar</v>
      </c>
      <c r="E7" s="20" t="str">
        <f>TEXT(WEEKDAY(DATE(CalendarYear,12,3),1),"jjj")</f>
        <v>mer</v>
      </c>
      <c r="F7" s="20" t="str">
        <f>TEXT(WEEKDAY(DATE(CalendarYear,12,4),1),"jjj")</f>
        <v>jeu</v>
      </c>
      <c r="G7" s="20" t="str">
        <f>TEXT(WEEKDAY(DATE(CalendarYear,12,5),1),"jjj")</f>
        <v>ven</v>
      </c>
      <c r="H7" s="20" t="str">
        <f>TEXT(WEEKDAY(DATE(CalendarYear,12,6),1),"jjj")</f>
        <v>sam</v>
      </c>
      <c r="I7" s="20" t="str">
        <f>TEXT(WEEKDAY(DATE(CalendarYear,12,7),1),"jjj")</f>
        <v>dim</v>
      </c>
      <c r="J7" s="20" t="str">
        <f>TEXT(WEEKDAY(DATE(CalendarYear,12,8),1),"jjj")</f>
        <v>lun</v>
      </c>
      <c r="K7" s="20" t="str">
        <f>TEXT(WEEKDAY(DATE(CalendarYear,12,9),1),"jjj")</f>
        <v>mar</v>
      </c>
      <c r="L7" s="20" t="str">
        <f>TEXT(WEEKDAY(DATE(CalendarYear,12,10),1),"jjj")</f>
        <v>mer</v>
      </c>
      <c r="M7" s="20" t="str">
        <f>TEXT(WEEKDAY(DATE(CalendarYear,12,11),1),"jjj")</f>
        <v>jeu</v>
      </c>
      <c r="N7" s="20" t="str">
        <f>TEXT(WEEKDAY(DATE(CalendarYear,12,12),1),"jjj")</f>
        <v>ven</v>
      </c>
      <c r="O7" s="20" t="str">
        <f>TEXT(WEEKDAY(DATE(CalendarYear,12,13),1),"jjj")</f>
        <v>sam</v>
      </c>
      <c r="P7" s="20" t="str">
        <f>TEXT(WEEKDAY(DATE(CalendarYear,12,14),1),"jjj")</f>
        <v>dim</v>
      </c>
      <c r="Q7" s="20" t="str">
        <f>TEXT(WEEKDAY(DATE(CalendarYear,12,15),1),"jjj")</f>
        <v>lun</v>
      </c>
      <c r="R7" s="20" t="str">
        <f>TEXT(WEEKDAY(DATE(CalendarYear,12,16),1),"jjj")</f>
        <v>mar</v>
      </c>
      <c r="S7" s="20" t="str">
        <f>TEXT(WEEKDAY(DATE(CalendarYear,12,17),1),"jjj")</f>
        <v>mer</v>
      </c>
      <c r="T7" s="20" t="str">
        <f>TEXT(WEEKDAY(DATE(CalendarYear,12,18),1),"jjj")</f>
        <v>jeu</v>
      </c>
      <c r="U7" s="20" t="str">
        <f>TEXT(WEEKDAY(DATE(CalendarYear,12,19),1),"jjj")</f>
        <v>ven</v>
      </c>
      <c r="V7" s="20" t="str">
        <f>TEXT(WEEKDAY(DATE(CalendarYear,12,20),1),"jjj")</f>
        <v>sam</v>
      </c>
      <c r="W7" s="20" t="str">
        <f>TEXT(WEEKDAY(DATE(CalendarYear,12,21),1),"jjj")</f>
        <v>dim</v>
      </c>
      <c r="X7" s="20" t="str">
        <f>TEXT(WEEKDAY(DATE(CalendarYear,12,22),1),"jjj")</f>
        <v>lun</v>
      </c>
      <c r="Y7" s="20" t="str">
        <f>TEXT(WEEKDAY(DATE(CalendarYear,12,23),1),"jjj")</f>
        <v>mar</v>
      </c>
      <c r="Z7" s="20" t="str">
        <f>TEXT(WEEKDAY(DATE(CalendarYear,12,24),1),"jjj")</f>
        <v>mer</v>
      </c>
      <c r="AA7" s="20" t="str">
        <f>TEXT(WEEKDAY(DATE(CalendarYear,12,25),1),"jjj")</f>
        <v>jeu</v>
      </c>
      <c r="AB7" s="20" t="str">
        <f>TEXT(WEEKDAY(DATE(CalendarYear,12,26),1),"jjj")</f>
        <v>ven</v>
      </c>
      <c r="AC7" s="20" t="str">
        <f>TEXT(WEEKDAY(DATE(CalendarYear,12,27),1),"jjj")</f>
        <v>sam</v>
      </c>
      <c r="AD7" s="20" t="str">
        <f>TEXT(WEEKDAY(DATE(CalendarYear,12,28),1),"jjj")</f>
        <v>dim</v>
      </c>
      <c r="AE7" s="20" t="str">
        <f>TEXT(WEEKDAY(DATE(CalendarYear,12,29),1),"jjj")</f>
        <v>lun</v>
      </c>
      <c r="AF7" s="20" t="str">
        <f>TEXT(WEEKDAY(DATE(CalendarYear,12,30),1),"jjj")</f>
        <v>mar</v>
      </c>
      <c r="AG7" s="20" t="str">
        <f>TEXT(WEEKDAY(DATE(CalendarYear,12,31),1),"jjj")</f>
        <v>mer</v>
      </c>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35</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COUNTA(Décembre[[#This Row],[1]:[31]])</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COUNTA(Décembre[[#This Row],[1]:[31]])</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COUNTA(Décembre[[#This Row],[1]:[31]])</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COUNTA(Décembre[[#This Row],[1]:[31]])</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COUNTA(Décembre[[#This Row],[1]:[31]])</f>
        <v>0</v>
      </c>
    </row>
    <row r="14" spans="2:34" ht="30" customHeight="1">
      <c r="B14" s="5" t="str">
        <f>NomMois&amp;" Total"</f>
        <v>Décembre Total</v>
      </c>
      <c r="C14" s="4">
        <f>SUBTOTAL(103,Décembre[1])</f>
        <v>0</v>
      </c>
      <c r="D14" s="4">
        <f>SUBTOTAL(103,Décembre[2])</f>
        <v>0</v>
      </c>
      <c r="E14" s="4">
        <f>SUBTOTAL(103,Décembre[3])</f>
        <v>0</v>
      </c>
      <c r="F14" s="4">
        <f>SUBTOTAL(103,Décembre[4])</f>
        <v>0</v>
      </c>
      <c r="G14" s="4">
        <f>SUBTOTAL(103,Décembre[5])</f>
        <v>0</v>
      </c>
      <c r="H14" s="4">
        <f>SUBTOTAL(103,Décembre[6])</f>
        <v>0</v>
      </c>
      <c r="I14" s="4">
        <f>SUBTOTAL(103,Décembre[7])</f>
        <v>0</v>
      </c>
      <c r="J14" s="4">
        <f>SUBTOTAL(103,Décembre[8])</f>
        <v>0</v>
      </c>
      <c r="K14" s="4">
        <f>SUBTOTAL(103,Décembre[9])</f>
        <v>0</v>
      </c>
      <c r="L14" s="4">
        <f>SUBTOTAL(103,Décembre[10])</f>
        <v>0</v>
      </c>
      <c r="M14" s="4">
        <f>SUBTOTAL(103,Décembre[11])</f>
        <v>0</v>
      </c>
      <c r="N14" s="4">
        <f>SUBTOTAL(103,Décembre[12])</f>
        <v>0</v>
      </c>
      <c r="O14" s="4">
        <f>SUBTOTAL(103,Décembre[13])</f>
        <v>0</v>
      </c>
      <c r="P14" s="4">
        <f>SUBTOTAL(103,Décembre[14])</f>
        <v>0</v>
      </c>
      <c r="Q14" s="4">
        <f>SUBTOTAL(103,Décembre[15])</f>
        <v>0</v>
      </c>
      <c r="R14" s="4">
        <f>SUBTOTAL(103,Décembre[16])</f>
        <v>0</v>
      </c>
      <c r="S14" s="4">
        <f>SUBTOTAL(103,Décembre[17])</f>
        <v>0</v>
      </c>
      <c r="T14" s="4">
        <f>SUBTOTAL(103,Décembre[18])</f>
        <v>0</v>
      </c>
      <c r="U14" s="4">
        <f>SUBTOTAL(103,Décembre[19])</f>
        <v>0</v>
      </c>
      <c r="V14" s="4">
        <f>SUBTOTAL(103,Décembre[20])</f>
        <v>0</v>
      </c>
      <c r="W14" s="4">
        <f>SUBTOTAL(103,Décembre[21])</f>
        <v>0</v>
      </c>
      <c r="X14" s="4">
        <f>SUBTOTAL(103,Décembre[22])</f>
        <v>0</v>
      </c>
      <c r="Y14" s="4">
        <f>SUBTOTAL(103,Décembre[23])</f>
        <v>0</v>
      </c>
      <c r="Z14" s="4">
        <f>SUBTOTAL(103,Décembre[24])</f>
        <v>0</v>
      </c>
      <c r="AA14" s="4">
        <f>SUBTOTAL(103,Décembre[25])</f>
        <v>0</v>
      </c>
      <c r="AB14" s="4">
        <f>SUBTOTAL(103,Décembre[26])</f>
        <v>0</v>
      </c>
      <c r="AC14" s="4">
        <f>SUBTOTAL(103,Décembre[27])</f>
        <v>0</v>
      </c>
      <c r="AD14" s="4">
        <f>SUBTOTAL(103,Décembre[28])</f>
        <v>0</v>
      </c>
      <c r="AE14" s="4">
        <f>SUBTOTAL(103,Décembre[29])</f>
        <v>0</v>
      </c>
      <c r="AF14" s="4">
        <f>SUBTOTAL(109,Décembre[30])</f>
        <v>0</v>
      </c>
      <c r="AG14" s="4">
        <f>SUBTOTAL(109,Décembre[31])</f>
        <v>0</v>
      </c>
      <c r="AH14" s="4">
        <f>SUBTOTAL(109,Décembre[Total des jours])</f>
        <v>0</v>
      </c>
    </row>
  </sheetData>
  <mergeCells count="6">
    <mergeCell ref="C6:AG6"/>
    <mergeCell ref="D4:E4"/>
    <mergeCell ref="G4:I4"/>
    <mergeCell ref="K4:L4"/>
    <mergeCell ref="O4:R4"/>
    <mergeCell ref="T4:W4"/>
  </mergeCells>
  <phoneticPr fontId="32" type="noConversion"/>
  <conditionalFormatting sqref="C9:AG13">
    <cfRule type="expression" priority="1" stopIfTrue="1">
      <formula>C9=""</formula>
    </cfRule>
    <cfRule type="expression" dxfId="273" priority="2" stopIfTrue="1">
      <formula>C9=CléPersonnalisée2</formula>
    </cfRule>
    <cfRule type="expression" dxfId="272" priority="3" stopIfTrue="1">
      <formula>C9=CléPersonnalisée1</formula>
    </cfRule>
    <cfRule type="expression" dxfId="271" priority="4" stopIfTrue="1">
      <formula>C9=CléMaladie</formula>
    </cfRule>
    <cfRule type="expression" dxfId="270" priority="5" stopIfTrue="1">
      <formula>C9=CléPersonnel</formula>
    </cfRule>
    <cfRule type="expression" dxfId="269" priority="6" stopIfTrue="1">
      <formula>C9=CléCongé</formula>
    </cfRule>
  </conditionalFormatting>
  <conditionalFormatting sqref="AH9:AH13">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dataValidations count="14">
    <dataValidation allowBlank="1" showInputMessage="1" showErrorMessage="1" prompt="Calcule automatiquement le nombre total de jours d’absence d’un employé durant ce mois dans cette colonne" sqref="AH8" xr:uid="{E810E773-697E-9042-BA14-6FFBF70DB80B}"/>
    <dataValidation allowBlank="1" showInputMessage="1" showErrorMessage="1" prompt="Suivez les absences du mois de décembre dans cette feuille de calcul" sqref="A1" xr:uid="{00000000-0002-0000-0B00-000002000000}"/>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AE6F2F4E-0826-45C7-BCF7-17062F4DF274}"/>
    <dataValidation allowBlank="1" showInputMessage="1" showErrorMessage="1" prompt="La lettre « C » indique une absence pour cause de congé" sqref="C4" xr:uid="{D06A9728-6586-43D5-8E1C-91FFC2EA8C47}"/>
    <dataValidation allowBlank="1" showInputMessage="1" showErrorMessage="1" prompt="La lettre « P » indique une absence pour motifs personnels" sqref="F4" xr:uid="{9A7C4802-C874-43DB-8ECD-3E8BB5F67750}"/>
    <dataValidation allowBlank="1" showInputMessage="1" showErrorMessage="1" prompt="La lettre « M » indique une absence pour cause de maladie" sqref="J4" xr:uid="{70657DA4-958D-45A9-A3D1-EC622C112424}"/>
    <dataValidation allowBlank="1" showInputMessage="1" showErrorMessage="1" prompt="Entrez une lettre et personnalisez l’étiquette à droite pour ajouter un élément de clé" sqref="S4 N4" xr:uid="{7A029C74-4978-48E9-9A1D-A2213A83A050}"/>
    <dataValidation allowBlank="1" showInputMessage="1" showErrorMessage="1" prompt="Entrez une étiquette pour décrire la clé personnalisée à gauche" sqref="T4 O4" xr:uid="{D90CB8F4-071E-49D3-AB18-A1E1AB536873}"/>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00000000-0002-0000-0B00-00000B000000}"/>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0482EFB3-0A55-4547-B0F2-69F4B25A0231}"/>
    <dataValidation allowBlank="1" showInputMessage="1" showErrorMessage="1" prompt="Le titre de la feuille de calcul figure dans cette cellule. " sqref="B1" xr:uid="{181CEBBE-C2D4-433F-9CA8-7920840F00CC}"/>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CB1E42E3-65E1-5041-91B2-633C92F4BB63}"/>
    <dataValidation allowBlank="1" showInputMessage="1" showErrorMessage="1" prompt="Cette ligne définit les clés utilisées dans le tableau : la cellule C4 un congé, la G4 personnel, et K4 un congé maladie. Les cellules N4 et R4 sont personnalisables " sqref="B4" xr:uid="{2E001958-5141-4FAA-A8E4-78FF00E196BE}"/>
    <dataValidation allowBlank="1" showInputMessage="1" showErrorMessage="1" prompt="Entrez l’année dans cette cellule" sqref="AH6" xr:uid="{6C07FD4B-63B2-4F53-B49B-249539A56E97}"/>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E000000}">
          <x14:formula1>
            <xm:f>'Noms des Associations'!$B$4:$B$8</xm:f>
          </x14:formula1>
          <xm:sqref>B9:B13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8"/>
  <sheetViews>
    <sheetView showGridLines="0" zoomScaleNormal="100" workbookViewId="0">
      <selection activeCell="B11" sqref="B11"/>
    </sheetView>
  </sheetViews>
  <sheetFormatPr baseColWidth="10" defaultColWidth="8.7109375" defaultRowHeight="30" customHeight="1"/>
  <cols>
    <col min="1" max="1" width="2.7109375" customWidth="1"/>
    <col min="2" max="2" width="32.140625" customWidth="1"/>
    <col min="3" max="3" width="2.7109375" customWidth="1"/>
  </cols>
  <sheetData>
    <row r="1" spans="2:2" ht="49.9" customHeight="1">
      <c r="B1" s="12" t="s">
        <v>59</v>
      </c>
    </row>
    <row r="2" spans="2:2" ht="15" customHeight="1"/>
    <row r="3" spans="2:2" ht="30" customHeight="1">
      <c r="B3" t="s">
        <v>50</v>
      </c>
    </row>
    <row r="4" spans="2:2" ht="30" customHeight="1">
      <c r="B4" s="6" t="s">
        <v>60</v>
      </c>
    </row>
    <row r="5" spans="2:2" ht="30" customHeight="1">
      <c r="B5" s="6" t="s">
        <v>61</v>
      </c>
    </row>
    <row r="6" spans="2:2" ht="30" customHeight="1">
      <c r="B6" s="6" t="s">
        <v>62</v>
      </c>
    </row>
    <row r="7" spans="2:2" ht="30" customHeight="1">
      <c r="B7" s="6" t="s">
        <v>63</v>
      </c>
    </row>
    <row r="8" spans="2:2" ht="30" customHeight="1">
      <c r="B8" s="6"/>
    </row>
  </sheetData>
  <phoneticPr fontId="32" type="noConversion"/>
  <dataValidations count="2">
    <dataValidation allowBlank="1" showInputMessage="1" showErrorMessage="1" prompt="Entrez les noms des employés dans le tableau Noms des employés de cette feuille de calcul. Ces noms sont utilisés en tant qu’options dans la colonne B du tableau des absences de chaque mois." sqref="A1" xr:uid="{00000000-0002-0000-0C00-000001000000}"/>
    <dataValidation allowBlank="1" showInputMessage="1" showErrorMessage="1" prompt="Entrez les noms des employés dans cette colonne" sqref="B3" xr:uid="{00000000-0002-0000-0C00-000002000000}"/>
  </dataValidations>
  <pageMargins left="0.7" right="0.7" top="0.75" bottom="0.75"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AH15"/>
  <sheetViews>
    <sheetView showGridLines="0" zoomScaleNormal="100" workbookViewId="0">
      <selection activeCell="B1" sqref="B1:R1"/>
    </sheetView>
  </sheetViews>
  <sheetFormatPr baseColWidth="10" defaultColWidth="9.14062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1:34" ht="50.1" customHeight="1">
      <c r="B1" s="23" t="s">
        <v>51</v>
      </c>
      <c r="C1" s="14"/>
      <c r="D1" s="14"/>
      <c r="E1" s="14"/>
      <c r="F1" s="14"/>
      <c r="G1" s="14"/>
      <c r="H1" s="14"/>
      <c r="I1" s="14"/>
      <c r="J1" s="14"/>
      <c r="K1" s="14"/>
      <c r="L1" s="14"/>
      <c r="M1" s="14"/>
      <c r="N1" s="14"/>
      <c r="O1" s="14"/>
      <c r="P1" s="14"/>
      <c r="Q1" s="14"/>
      <c r="R1" s="14"/>
    </row>
    <row r="2" spans="1:34" s="11" customFormat="1" ht="100.35" customHeight="1">
      <c r="A2"/>
      <c r="B2" s="22" t="s">
        <v>37</v>
      </c>
    </row>
    <row r="3" spans="1: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1:34" ht="89.2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1: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1: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1:34" ht="30" customHeight="1">
      <c r="B7" s="7"/>
      <c r="C7" s="20" t="str">
        <f>TEXT(WEEKDAY(DATE(CalendarYear,2,1),1),"jjj")</f>
        <v>sam</v>
      </c>
      <c r="D7" s="20" t="str">
        <f>TEXT(WEEKDAY(DATE(CalendarYear,2,2),1),"jjj")</f>
        <v>dim</v>
      </c>
      <c r="E7" s="20" t="str">
        <f>TEXT(WEEKDAY(DATE(CalendarYear,2,3),1),"jjj")</f>
        <v>lun</v>
      </c>
      <c r="F7" s="20" t="str">
        <f>TEXT(WEEKDAY(DATE(CalendarYear,2,4),1),"jjj")</f>
        <v>mar</v>
      </c>
      <c r="G7" s="20" t="str">
        <f>TEXT(WEEKDAY(DATE(CalendarYear,2,5),1),"jjj")</f>
        <v>mer</v>
      </c>
      <c r="H7" s="20" t="str">
        <f>TEXT(WEEKDAY(DATE(CalendarYear,2,6),1),"jjj")</f>
        <v>jeu</v>
      </c>
      <c r="I7" s="20" t="str">
        <f>TEXT(WEEKDAY(DATE(CalendarYear,2,7),1),"jjj")</f>
        <v>ven</v>
      </c>
      <c r="J7" s="20" t="str">
        <f>TEXT(WEEKDAY(DATE(CalendarYear,2,8),1),"jjj")</f>
        <v>sam</v>
      </c>
      <c r="K7" s="20" t="str">
        <f>TEXT(WEEKDAY(DATE(CalendarYear,2,9),1),"jjj")</f>
        <v>dim</v>
      </c>
      <c r="L7" s="20" t="str">
        <f>TEXT(WEEKDAY(DATE(CalendarYear,2,10),1),"jjj")</f>
        <v>lun</v>
      </c>
      <c r="M7" s="20" t="str">
        <f>TEXT(WEEKDAY(DATE(CalendarYear,2,11),1),"jjj")</f>
        <v>mar</v>
      </c>
      <c r="N7" s="20" t="str">
        <f>TEXT(WEEKDAY(DATE(CalendarYear,2,12),1),"jjj")</f>
        <v>mer</v>
      </c>
      <c r="O7" s="20" t="str">
        <f>TEXT(WEEKDAY(DATE(CalendarYear,2,13),1),"jjj")</f>
        <v>jeu</v>
      </c>
      <c r="P7" s="20" t="str">
        <f>TEXT(WEEKDAY(DATE(CalendarYear,2,14),1),"jjj")</f>
        <v>ven</v>
      </c>
      <c r="Q7" s="20" t="str">
        <f>TEXT(WEEKDAY(DATE(CalendarYear,2,15),1),"jjj")</f>
        <v>sam</v>
      </c>
      <c r="R7" s="20" t="str">
        <f>TEXT(WEEKDAY(DATE(CalendarYear,2,16),1),"jjj")</f>
        <v>dim</v>
      </c>
      <c r="S7" s="20" t="str">
        <f>TEXT(WEEKDAY(DATE(CalendarYear,2,17),1),"jjj")</f>
        <v>lun</v>
      </c>
      <c r="T7" s="20" t="str">
        <f>TEXT(WEEKDAY(DATE(CalendarYear,2,18),1),"jjj")</f>
        <v>mar</v>
      </c>
      <c r="U7" s="20" t="str">
        <f>TEXT(WEEKDAY(DATE(CalendarYear,2,19),1),"jjj")</f>
        <v>mer</v>
      </c>
      <c r="V7" s="20" t="str">
        <f>TEXT(WEEKDAY(DATE(CalendarYear,2,20),1),"jjj")</f>
        <v>jeu</v>
      </c>
      <c r="W7" s="20" t="str">
        <f>TEXT(WEEKDAY(DATE(CalendarYear,2,21),1),"jjj")</f>
        <v>ven</v>
      </c>
      <c r="X7" s="20" t="str">
        <f>TEXT(WEEKDAY(DATE(CalendarYear,2,22),1),"jjj")</f>
        <v>sam</v>
      </c>
      <c r="Y7" s="20" t="str">
        <f>TEXT(WEEKDAY(DATE(CalendarYear,2,23),1),"jjj")</f>
        <v>dim</v>
      </c>
      <c r="Z7" s="20" t="str">
        <f>TEXT(WEEKDAY(DATE(CalendarYear,2,24),1),"jjj")</f>
        <v>lun</v>
      </c>
      <c r="AA7" s="20" t="str">
        <f>TEXT(WEEKDAY(DATE(CalendarYear,2,25),1),"jjj")</f>
        <v>mar</v>
      </c>
      <c r="AB7" s="20" t="str">
        <f>TEXT(WEEKDAY(DATE(CalendarYear,2,26),1),"jjj")</f>
        <v>mer</v>
      </c>
      <c r="AC7" s="20" t="str">
        <f>TEXT(WEEKDAY(DATE(CalendarYear,2,27),1),"jjj")</f>
        <v>jeu</v>
      </c>
      <c r="AD7" s="20" t="str">
        <f>TEXT(WEEKDAY(DATE(CalendarYear,2,28),1),"jjj")</f>
        <v>ven</v>
      </c>
      <c r="AE7" s="20" t="str">
        <f>TEXT(WEEKDAY(DATE(CalendarYear,2,29),1),"jjj")</f>
        <v>sam</v>
      </c>
      <c r="AF7" s="20"/>
      <c r="AG7" s="20"/>
      <c r="AH7" s="7"/>
    </row>
    <row r="8" spans="1:34" ht="30" customHeight="1">
      <c r="B8" s="19" t="s">
        <v>1</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38</v>
      </c>
      <c r="AG8" s="1" t="s">
        <v>39</v>
      </c>
      <c r="AH8" s="21" t="s">
        <v>36</v>
      </c>
    </row>
    <row r="9" spans="1:34" ht="30" customHeight="1">
      <c r="B9" s="19" t="s">
        <v>65</v>
      </c>
      <c r="C9" s="18"/>
      <c r="D9" s="18"/>
      <c r="E9" s="18" t="s">
        <v>2</v>
      </c>
      <c r="F9" s="18" t="s">
        <v>2</v>
      </c>
      <c r="G9" s="18" t="s">
        <v>2</v>
      </c>
      <c r="H9" s="18" t="s">
        <v>2</v>
      </c>
      <c r="I9" s="18"/>
      <c r="J9" s="18"/>
      <c r="K9" s="18"/>
      <c r="L9" s="18"/>
      <c r="M9" s="18"/>
      <c r="N9" s="18"/>
      <c r="O9" s="18" t="s">
        <v>2</v>
      </c>
      <c r="P9" s="18"/>
      <c r="Q9" s="18"/>
      <c r="R9" s="18"/>
      <c r="S9" s="18"/>
      <c r="T9" s="18"/>
      <c r="U9" s="18"/>
      <c r="V9" s="18"/>
      <c r="W9" s="18"/>
      <c r="X9" s="18"/>
      <c r="Y9" s="18"/>
      <c r="Z9" s="18"/>
      <c r="AA9" s="18"/>
      <c r="AB9" s="18"/>
      <c r="AC9" s="18"/>
      <c r="AD9" s="18"/>
      <c r="AE9" s="18"/>
      <c r="AF9" s="18"/>
      <c r="AG9" s="18"/>
      <c r="AH9" s="3">
        <f>COUNTA(Février[[#This Row],[1]:[29]])</f>
        <v>5</v>
      </c>
    </row>
    <row r="10" spans="1:34" ht="30" customHeight="1">
      <c r="B10" s="2" t="s">
        <v>60</v>
      </c>
      <c r="C10" s="18"/>
      <c r="D10" s="18"/>
      <c r="E10" s="18"/>
      <c r="F10" s="18"/>
      <c r="G10" s="18" t="s">
        <v>8</v>
      </c>
      <c r="H10" s="18" t="s">
        <v>8</v>
      </c>
      <c r="I10" s="18"/>
      <c r="J10" s="18"/>
      <c r="K10" s="18"/>
      <c r="L10" s="18"/>
      <c r="M10" s="18" t="s">
        <v>6</v>
      </c>
      <c r="N10" s="18"/>
      <c r="O10" s="18"/>
      <c r="P10" s="18"/>
      <c r="Q10" s="18"/>
      <c r="R10" s="18"/>
      <c r="S10" s="18"/>
      <c r="T10" s="18"/>
      <c r="U10" s="18"/>
      <c r="V10" s="18" t="s">
        <v>8</v>
      </c>
      <c r="W10" s="18"/>
      <c r="X10" s="18"/>
      <c r="Y10" s="18"/>
      <c r="Z10" s="18"/>
      <c r="AA10" s="18" t="s">
        <v>2</v>
      </c>
      <c r="AB10" s="18" t="s">
        <v>2</v>
      </c>
      <c r="AC10" s="18" t="s">
        <v>2</v>
      </c>
      <c r="AD10" s="18"/>
      <c r="AE10" s="18"/>
      <c r="AF10" s="18"/>
      <c r="AG10" s="18"/>
      <c r="AH10" s="3">
        <f>COUNTA(Février[[#This Row],[1]:[29]])</f>
        <v>7</v>
      </c>
    </row>
    <row r="11" spans="1:34" ht="30" customHeight="1">
      <c r="B11" s="2" t="s">
        <v>61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3">
        <f>COUNTA(Février[[#This Row],[1]:[29]])</f>
        <v>0</v>
      </c>
    </row>
    <row r="12" spans="1:34" ht="30" customHeight="1">
      <c r="B12" s="2" t="s">
        <v>62</v>
      </c>
      <c r="C12" s="18"/>
      <c r="D12" s="18"/>
      <c r="E12" s="18" t="s">
        <v>8</v>
      </c>
      <c r="F12" s="18"/>
      <c r="G12" s="18"/>
      <c r="H12" s="18"/>
      <c r="I12" s="18"/>
      <c r="J12" s="18"/>
      <c r="K12" s="18"/>
      <c r="L12" s="18"/>
      <c r="M12" s="18"/>
      <c r="N12" s="18"/>
      <c r="O12" s="18"/>
      <c r="P12" s="18" t="s">
        <v>8</v>
      </c>
      <c r="Q12" s="18"/>
      <c r="R12" s="18"/>
      <c r="S12" s="18"/>
      <c r="T12" s="18" t="s">
        <v>6</v>
      </c>
      <c r="U12" s="18"/>
      <c r="V12" s="18"/>
      <c r="W12" s="18"/>
      <c r="X12" s="18"/>
      <c r="Y12" s="18"/>
      <c r="Z12" s="18"/>
      <c r="AA12" s="18"/>
      <c r="AB12" s="18"/>
      <c r="AC12" s="18"/>
      <c r="AD12" s="18" t="s">
        <v>8</v>
      </c>
      <c r="AE12" s="18"/>
      <c r="AF12" s="18"/>
      <c r="AG12" s="18"/>
      <c r="AH12" s="3">
        <f>COUNTA(Février[[#This Row],[1]:[29]])</f>
        <v>4</v>
      </c>
    </row>
    <row r="13" spans="1:34" ht="30" customHeight="1">
      <c r="B13" s="2" t="s">
        <v>63</v>
      </c>
      <c r="C13" s="18"/>
      <c r="D13" s="18"/>
      <c r="E13" s="18"/>
      <c r="F13" s="18"/>
      <c r="G13" s="18"/>
      <c r="H13" s="18"/>
      <c r="I13" s="18"/>
      <c r="J13" s="18" t="s">
        <v>2</v>
      </c>
      <c r="K13" s="18" t="s">
        <v>2</v>
      </c>
      <c r="L13" s="18" t="s">
        <v>2</v>
      </c>
      <c r="M13" s="18" t="s">
        <v>2</v>
      </c>
      <c r="N13" s="18"/>
      <c r="O13" s="18"/>
      <c r="P13" s="18"/>
      <c r="Q13" s="18"/>
      <c r="R13" s="18"/>
      <c r="S13" s="18"/>
      <c r="T13" s="18"/>
      <c r="U13" s="18"/>
      <c r="V13" s="18"/>
      <c r="W13" s="18"/>
      <c r="X13" s="18"/>
      <c r="Y13" s="18"/>
      <c r="Z13" s="18" t="s">
        <v>8</v>
      </c>
      <c r="AA13" s="18"/>
      <c r="AB13" s="18"/>
      <c r="AC13" s="18"/>
      <c r="AD13" s="18"/>
      <c r="AE13" s="18"/>
      <c r="AF13" s="18"/>
      <c r="AG13" s="18"/>
      <c r="AH13" s="3">
        <f>COUNTA(Février[[#This Row],[1]:[29]])</f>
        <v>5</v>
      </c>
    </row>
    <row r="14" spans="1:34" ht="30" customHeight="1">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3">
        <f>COUNTA(Février[[#This Row],[1]:[29]])</f>
        <v>0</v>
      </c>
    </row>
    <row r="15" spans="1:34" ht="30" customHeight="1">
      <c r="B15" s="5" t="str">
        <f>NomMois&amp;" total"</f>
        <v>Février total</v>
      </c>
      <c r="C15" s="4">
        <f>SUBTOTAL(103,Février[1])</f>
        <v>0</v>
      </c>
      <c r="D15" s="4">
        <f>SUBTOTAL(103,Février[2])</f>
        <v>0</v>
      </c>
      <c r="E15" s="4">
        <f>SUBTOTAL(103,Février[3])</f>
        <v>2</v>
      </c>
      <c r="F15" s="4">
        <f>SUBTOTAL(103,Février[4])</f>
        <v>1</v>
      </c>
      <c r="G15" s="4">
        <f>SUBTOTAL(103,Février[5])</f>
        <v>2</v>
      </c>
      <c r="H15" s="4">
        <f>SUBTOTAL(103,Février[6])</f>
        <v>2</v>
      </c>
      <c r="I15" s="4">
        <f>SUBTOTAL(103,Février[7])</f>
        <v>0</v>
      </c>
      <c r="J15" s="4">
        <f>SUBTOTAL(103,Février[8])</f>
        <v>1</v>
      </c>
      <c r="K15" s="4">
        <f>SUBTOTAL(103,Février[9])</f>
        <v>1</v>
      </c>
      <c r="L15" s="4">
        <f>SUBTOTAL(103,Février[10])</f>
        <v>1</v>
      </c>
      <c r="M15" s="4">
        <f>SUBTOTAL(103,Février[11])</f>
        <v>2</v>
      </c>
      <c r="N15" s="4">
        <f>SUBTOTAL(103,Février[12])</f>
        <v>0</v>
      </c>
      <c r="O15" s="4">
        <f>SUBTOTAL(103,Février[13])</f>
        <v>1</v>
      </c>
      <c r="P15" s="4">
        <f>SUBTOTAL(103,Février[14])</f>
        <v>1</v>
      </c>
      <c r="Q15" s="4">
        <f>SUBTOTAL(103,Février[15])</f>
        <v>0</v>
      </c>
      <c r="R15" s="4">
        <f>SUBTOTAL(103,Février[16])</f>
        <v>0</v>
      </c>
      <c r="S15" s="4">
        <f>SUBTOTAL(103,Février[17])</f>
        <v>0</v>
      </c>
      <c r="T15" s="4">
        <f>SUBTOTAL(103,Février[18])</f>
        <v>1</v>
      </c>
      <c r="U15" s="4">
        <f>SUBTOTAL(103,Février[19])</f>
        <v>0</v>
      </c>
      <c r="V15" s="4">
        <f>SUBTOTAL(103,Février[20])</f>
        <v>1</v>
      </c>
      <c r="W15" s="4">
        <f>SUBTOTAL(103,Février[21])</f>
        <v>0</v>
      </c>
      <c r="X15" s="4">
        <f>SUBTOTAL(103,Février[22])</f>
        <v>0</v>
      </c>
      <c r="Y15" s="4">
        <f>SUBTOTAL(103,Février[23])</f>
        <v>0</v>
      </c>
      <c r="Z15" s="4">
        <f>SUBTOTAL(103,Février[24])</f>
        <v>1</v>
      </c>
      <c r="AA15" s="4">
        <f>SUBTOTAL(103,Février[25])</f>
        <v>1</v>
      </c>
      <c r="AB15" s="4">
        <f>SUBTOTAL(103,Février[26])</f>
        <v>1</v>
      </c>
      <c r="AC15" s="4">
        <f>SUBTOTAL(103,Février[27])</f>
        <v>1</v>
      </c>
      <c r="AD15" s="4">
        <f>SUBTOTAL(103,Février[28])</f>
        <v>1</v>
      </c>
      <c r="AE15" s="4">
        <f>SUBTOTAL(103,Février[29])</f>
        <v>0</v>
      </c>
      <c r="AF15" s="4"/>
      <c r="AG15" s="4"/>
      <c r="AH15" s="4">
        <f>SUBTOTAL(109,Février[Total des jours])</f>
        <v>21</v>
      </c>
    </row>
  </sheetData>
  <mergeCells count="6">
    <mergeCell ref="C6:AG6"/>
    <mergeCell ref="D4:E4"/>
    <mergeCell ref="G4:I4"/>
    <mergeCell ref="K4:L4"/>
    <mergeCell ref="O4:R4"/>
    <mergeCell ref="T4:W4"/>
  </mergeCells>
  <phoneticPr fontId="32" type="noConversion"/>
  <conditionalFormatting sqref="C9:AG14">
    <cfRule type="expression" priority="3" stopIfTrue="1">
      <formula>C9=""</formula>
    </cfRule>
    <cfRule type="expression" dxfId="325" priority="4" stopIfTrue="1">
      <formula>C9=CléPersonnalisée2</formula>
    </cfRule>
    <cfRule type="expression" dxfId="324" priority="6" stopIfTrue="1">
      <formula>C9=CléPersonnalisée1</formula>
    </cfRule>
    <cfRule type="expression" dxfId="323" priority="7" stopIfTrue="1">
      <formula>C9=CléMaladie</formula>
    </cfRule>
    <cfRule type="expression" dxfId="322" priority="8" stopIfTrue="1">
      <formula>C9=CléPersonnel</formula>
    </cfRule>
    <cfRule type="expression" dxfId="321" priority="9" stopIfTrue="1">
      <formula>C9=CléCongé</formula>
    </cfRule>
  </conditionalFormatting>
  <conditionalFormatting sqref="AE7">
    <cfRule type="expression" dxfId="320" priority="1">
      <formula>MONTH(DATE(CalendarYear,2,29))&lt;&gt;2</formula>
    </cfRule>
  </conditionalFormatting>
  <conditionalFormatting sqref="AE8">
    <cfRule type="expression" dxfId="319" priority="17">
      <formula>MONTH(DATE(CalendarYear,2,29))&lt;&gt;2</formula>
    </cfRule>
  </conditionalFormatting>
  <conditionalFormatting sqref="AH9:AH14">
    <cfRule type="dataBar" priority="154">
      <dataBar>
        <cfvo type="min"/>
        <cfvo type="formula" val="DATEDIF(DATE(CalendarYear,2,1),DATE(CalendarYear,3,1),&quot;d&quot;)"/>
        <color theme="4"/>
      </dataBar>
      <extLst>
        <ext xmlns:x14="http://schemas.microsoft.com/office/spreadsheetml/2009/9/main" uri="{B025F937-C7B1-47D3-B67F-A62EFF666E3E}">
          <x14:id>{94738C71-AB78-40C3-A818-D083AE35CC38}</x14:id>
        </ext>
      </extLst>
    </cfRule>
  </conditionalFormatting>
  <dataValidations xWindow="232" yWindow="365" count="15">
    <dataValidation allowBlank="1" showInputMessage="1" showErrorMessage="1" prompt="Suivez les absences du mois de février dans cette feuille de calcul" sqref="A1" xr:uid="{00000000-0002-0000-0100-000001000000}"/>
    <dataValidation allowBlank="1" showInputMessage="1" showErrorMessage="1" prompt="Calcule automatiquement le nombre total de jours d’absence d’un employé durant ce mois dans cette colonne" sqref="AH8" xr:uid="{77246999-1DD3-7143-AA66-1A208D7E07C6}"/>
    <dataValidation allowBlank="1" showInputMessage="1" showErrorMessage="1" prompt="Le titre mis à jour automatiquement figure dans cette cellule. Pour modifier le titre, mettez à jour la cellule B1 de la feuille de calcul Janvier" sqref="B2" xr:uid="{00000000-0002-0000-0100-000003000000}"/>
    <dataValidation allowBlank="1" showInputMessage="1" showErrorMessage="1" prompt="Nom du mois pour ce calendrier des absences dans cette cellule. Le total des absences pour ce mois figure dans la dernière cellule du tableau. Sélectionnez les noms des employés dans la colonne B du tableau" sqref="B2" xr:uid="{00000000-0002-0000-0100-000004000000}"/>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B9" xr:uid="{63261372-7DCA-F84F-9EF6-13D18C8D58CC}"/>
    <dataValidation allowBlank="1" showInputMessage="1" showErrorMessage="1" prompt="Entrez une étiquette pour décrire la clé personnalisée à gauche" sqref="T4 O4" xr:uid="{00000000-0002-0000-0100-000007000000}"/>
    <dataValidation allowBlank="1" showInputMessage="1" showErrorMessage="1" prompt="Entrez une lettre et personnalisez l’étiquette à droite pour ajouter un élément de clé" sqref="S4 N4" xr:uid="{00000000-0002-0000-0100-000008000000}"/>
    <dataValidation allowBlank="1" showInputMessage="1" showErrorMessage="1" prompt="La lettre « M » indique une absence pour cause de maladie" sqref="J4" xr:uid="{8103F769-D8E6-4423-ABDC-25B71B45A6AE}"/>
    <dataValidation allowBlank="1" showInputMessage="1" showErrorMessage="1" prompt="La lettre « P » indique une absence pour motifs personnels" sqref="F4" xr:uid="{A74035C9-E518-47AC-BE6A-A50B16103270}"/>
    <dataValidation allowBlank="1" showInputMessage="1" showErrorMessage="1" prompt="La lettre « C » indique une absence pour cause de congé" sqref="C4" xr:uid="{85912158-49FA-484C-9481-AD05B3C6B961}"/>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00000000-0002-0000-0100-00000D000000}"/>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525721C9-B345-0C4C-8302-350AF692807F}"/>
    <dataValidation allowBlank="1" showInputMessage="1" showErrorMessage="1" prompt="Cette ligne définit les clés utilisées dans le tableau : la cellule C4 un congé, la G4 personnel, et K4 un congé maladie. Les cellules N4 et R4 sont personnalisables " sqref="B4" xr:uid="{93F7DCAE-8D11-47B1-AED9-51D5ACEEC977}"/>
    <dataValidation allowBlank="1" showInputMessage="1" showErrorMessage="1" prompt="Le titre de la feuille de calcul figure dans cette cellule. " sqref="B1" xr:uid="{0BAEB7FE-F844-4BEE-BBB0-59298D61EDD1}"/>
    <dataValidation allowBlank="1" showInputMessage="1" showErrorMessage="1" prompt="Entrez l’année dans cette cellule" sqref="AH6" xr:uid="{CF31B1E5-4CA0-4E3D-A3A0-A074ABA27C77}"/>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gradient="0">
              <x14:cfvo type="autoMin"/>
              <x14:cfvo type="formula">
                <xm:f>DATEDIF(DATE(CalendarYear,2,1),DATE(CalendarYear,3,1),"d")</xm:f>
              </x14:cfvo>
              <x14:negativeFillColor rgb="FFFF0000"/>
              <x14:axisColor rgb="FF000000"/>
            </x14:dataBar>
          </x14:cfRule>
          <xm:sqref>AH9:AH14</xm:sqref>
        </x14:conditionalFormatting>
      </x14:conditionalFormattings>
    </ext>
    <ext xmlns:x14="http://schemas.microsoft.com/office/spreadsheetml/2009/9/main" uri="{CCE6A557-97BC-4b89-ADB6-D9C93CAAB3DF}">
      <x14:dataValidations xmlns:xm="http://schemas.microsoft.com/office/excel/2006/main" xWindow="232" yWindow="365" count="1">
        <x14:dataValidation type="list" allowBlank="1" showInputMessage="1" showErrorMessage="1" xr:uid="{F178251C-BBF3-4ABE-A35C-D6D5A3F15C91}">
          <x14:formula1>
            <xm:f>'Noms des Associations'!$B$4:$B$8</xm:f>
          </x14:formula1>
          <xm:sqref>B10:B13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sheetPr>
  <dimension ref="B1:AH14"/>
  <sheetViews>
    <sheetView showGridLines="0" zoomScaleNormal="100" workbookViewId="0">
      <selection activeCell="B1" sqref="B1:R1"/>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24" t="s">
        <v>40</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99"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TEXT(WEEKDAY(DATE(CalendarYear,3,1),1),"jjj")</f>
        <v>sam</v>
      </c>
      <c r="D7" s="20" t="str">
        <f>TEXT(WEEKDAY(DATE(CalendarYear,3,2),1),"jjj")</f>
        <v>dim</v>
      </c>
      <c r="E7" s="20" t="str">
        <f>TEXT(WEEKDAY(DATE(CalendarYear,3,3),1),"jjj")</f>
        <v>lun</v>
      </c>
      <c r="F7" s="20" t="str">
        <f>TEXT(WEEKDAY(DATE(CalendarYear,3,4),1),"jjj")</f>
        <v>mar</v>
      </c>
      <c r="G7" s="20" t="str">
        <f>TEXT(WEEKDAY(DATE(CalendarYear,3,5),1),"jjj")</f>
        <v>mer</v>
      </c>
      <c r="H7" s="20" t="str">
        <f>TEXT(WEEKDAY(DATE(CalendarYear,3,6),1),"jjj")</f>
        <v>jeu</v>
      </c>
      <c r="I7" s="20" t="str">
        <f>TEXT(WEEKDAY(DATE(CalendarYear,3,7),1),"jjj")</f>
        <v>ven</v>
      </c>
      <c r="J7" s="20" t="str">
        <f>TEXT(WEEKDAY(DATE(CalendarYear,3,8),1),"jjj")</f>
        <v>sam</v>
      </c>
      <c r="K7" s="20" t="str">
        <f>TEXT(WEEKDAY(DATE(CalendarYear,3,9),1),"jjj")</f>
        <v>dim</v>
      </c>
      <c r="L7" s="20" t="str">
        <f>TEXT(WEEKDAY(DATE(CalendarYear,3,10),1),"jjj")</f>
        <v>lun</v>
      </c>
      <c r="M7" s="20" t="str">
        <f>TEXT(WEEKDAY(DATE(CalendarYear,3,11),1),"jjj")</f>
        <v>mar</v>
      </c>
      <c r="N7" s="20" t="str">
        <f>TEXT(WEEKDAY(DATE(CalendarYear,3,12),1),"jjj")</f>
        <v>mer</v>
      </c>
      <c r="O7" s="20" t="str">
        <f>TEXT(WEEKDAY(DATE(CalendarYear,3,13),1),"jjj")</f>
        <v>jeu</v>
      </c>
      <c r="P7" s="20" t="str">
        <f>TEXT(WEEKDAY(DATE(CalendarYear,3,14),1),"jjj")</f>
        <v>ven</v>
      </c>
      <c r="Q7" s="20" t="str">
        <f>TEXT(WEEKDAY(DATE(CalendarYear,3,15),1),"jjj")</f>
        <v>sam</v>
      </c>
      <c r="R7" s="20" t="str">
        <f>TEXT(WEEKDAY(DATE(CalendarYear,3,16),1),"jjj")</f>
        <v>dim</v>
      </c>
      <c r="S7" s="20" t="str">
        <f>TEXT(WEEKDAY(DATE(CalendarYear,3,17),1),"jjj")</f>
        <v>lun</v>
      </c>
      <c r="T7" s="20" t="str">
        <f>TEXT(WEEKDAY(DATE(CalendarYear,3,18),1),"jjj")</f>
        <v>mar</v>
      </c>
      <c r="U7" s="20" t="str">
        <f>TEXT(WEEKDAY(DATE(CalendarYear,3,19),1),"jjj")</f>
        <v>mer</v>
      </c>
      <c r="V7" s="20" t="str">
        <f>TEXT(WEEKDAY(DATE(CalendarYear,3,20),1),"jjj")</f>
        <v>jeu</v>
      </c>
      <c r="W7" s="20" t="str">
        <f>TEXT(WEEKDAY(DATE(CalendarYear,3,21),1),"jjj")</f>
        <v>ven</v>
      </c>
      <c r="X7" s="20" t="str">
        <f>TEXT(WEEKDAY(DATE(CalendarYear,3,22),1),"jjj")</f>
        <v>sam</v>
      </c>
      <c r="Y7" s="20" t="str">
        <f>TEXT(WEEKDAY(DATE(CalendarYear,3,23),1),"jjj")</f>
        <v>dim</v>
      </c>
      <c r="Z7" s="20" t="str">
        <f>TEXT(WEEKDAY(DATE(CalendarYear,3,24),1),"jjj")</f>
        <v>lun</v>
      </c>
      <c r="AA7" s="20" t="str">
        <f>TEXT(WEEKDAY(DATE(CalendarYear,3,25),1),"jjj")</f>
        <v>mar</v>
      </c>
      <c r="AB7" s="20" t="str">
        <f>TEXT(WEEKDAY(DATE(CalendarYear,3,26),1),"jjj")</f>
        <v>mer</v>
      </c>
      <c r="AC7" s="20" t="str">
        <f>TEXT(WEEKDAY(DATE(CalendarYear,3,27),1),"jjj")</f>
        <v>jeu</v>
      </c>
      <c r="AD7" s="20" t="str">
        <f>TEXT(WEEKDAY(DATE(CalendarYear,3,28),1),"jjj")</f>
        <v>ven</v>
      </c>
      <c r="AE7" s="20" t="str">
        <f>TEXT(WEEKDAY(DATE(CalendarYear,3,29),1),"jjj")</f>
        <v>sam</v>
      </c>
      <c r="AF7" s="20" t="str">
        <f>TEXT(WEEKDAY(DATE(CalendarYear,3,30),1),"jjj")</f>
        <v>dim</v>
      </c>
      <c r="AG7" s="20" t="str">
        <f>TEXT(WEEKDAY(DATE(CalendarYear,3,31),1),"jjj")</f>
        <v>lun</v>
      </c>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35</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COUNTA(Mars[[#This Row],[1]:[31]])</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COUNTA(Mars[[#This Row],[1]:[31]])</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COUNTA(Mars[[#This Row],[1]:[31]])</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COUNTA(Mars[[#This Row],[1]:[31]])</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COUNTA(Mars[[#This Row],[1]:[31]])</f>
        <v>0</v>
      </c>
    </row>
    <row r="14" spans="2:34" ht="30" customHeight="1">
      <c r="B14" s="5" t="str">
        <f>NomMois&amp;" Total"</f>
        <v>Mars Total</v>
      </c>
      <c r="C14" s="4">
        <f>SUBTOTAL(103,Mars[1])</f>
        <v>0</v>
      </c>
      <c r="D14" s="4">
        <f>SUBTOTAL(103,Mars[2])</f>
        <v>0</v>
      </c>
      <c r="E14" s="4">
        <f>SUBTOTAL(103,Mars[3])</f>
        <v>0</v>
      </c>
      <c r="F14" s="4">
        <f>SUBTOTAL(103,Mars[4])</f>
        <v>0</v>
      </c>
      <c r="G14" s="4">
        <f>SUBTOTAL(103,Mars[5])</f>
        <v>0</v>
      </c>
      <c r="H14" s="4">
        <f>SUBTOTAL(103,Mars[6])</f>
        <v>0</v>
      </c>
      <c r="I14" s="4">
        <f>SUBTOTAL(103,Mars[7])</f>
        <v>0</v>
      </c>
      <c r="J14" s="4">
        <f>SUBTOTAL(103,Mars[8])</f>
        <v>0</v>
      </c>
      <c r="K14" s="4">
        <f>SUBTOTAL(103,Mars[9])</f>
        <v>0</v>
      </c>
      <c r="L14" s="4">
        <f>SUBTOTAL(103,Mars[10])</f>
        <v>0</v>
      </c>
      <c r="M14" s="4">
        <f>SUBTOTAL(103,Mars[11])</f>
        <v>0</v>
      </c>
      <c r="N14" s="4">
        <f>SUBTOTAL(103,Mars[12])</f>
        <v>0</v>
      </c>
      <c r="O14" s="4">
        <f>SUBTOTAL(103,Mars[13])</f>
        <v>0</v>
      </c>
      <c r="P14" s="4">
        <f>SUBTOTAL(103,Mars[14])</f>
        <v>0</v>
      </c>
      <c r="Q14" s="4">
        <f>SUBTOTAL(103,Mars[15])</f>
        <v>0</v>
      </c>
      <c r="R14" s="4">
        <f>SUBTOTAL(103,Mars[16])</f>
        <v>0</v>
      </c>
      <c r="S14" s="4">
        <f>SUBTOTAL(103,Mars[17])</f>
        <v>0</v>
      </c>
      <c r="T14" s="4">
        <f>SUBTOTAL(103,Mars[18])</f>
        <v>0</v>
      </c>
      <c r="U14" s="4">
        <f>SUBTOTAL(103,Mars[19])</f>
        <v>0</v>
      </c>
      <c r="V14" s="4">
        <f>SUBTOTAL(103,Mars[20])</f>
        <v>0</v>
      </c>
      <c r="W14" s="4">
        <f>SUBTOTAL(103,Mars[21])</f>
        <v>0</v>
      </c>
      <c r="X14" s="4">
        <f>SUBTOTAL(103,Mars[22])</f>
        <v>0</v>
      </c>
      <c r="Y14" s="4">
        <f>SUBTOTAL(103,Mars[23])</f>
        <v>0</v>
      </c>
      <c r="Z14" s="4">
        <f>SUBTOTAL(103,Mars[24])</f>
        <v>0</v>
      </c>
      <c r="AA14" s="4">
        <f>SUBTOTAL(103,Mars[25])</f>
        <v>0</v>
      </c>
      <c r="AB14" s="4">
        <f>SUBTOTAL(103,Mars[26])</f>
        <v>0</v>
      </c>
      <c r="AC14" s="4">
        <f>SUBTOTAL(103,Mars[27])</f>
        <v>0</v>
      </c>
      <c r="AD14" s="4">
        <f>SUBTOTAL(103,Mars[28])</f>
        <v>0</v>
      </c>
      <c r="AE14" s="4">
        <f>SUBTOTAL(103,Mars[29])</f>
        <v>0</v>
      </c>
      <c r="AF14" s="4">
        <f>SUBTOTAL(109,Mars[30])</f>
        <v>0</v>
      </c>
      <c r="AG14" s="4">
        <f>SUBTOTAL(109,Mars[31])</f>
        <v>0</v>
      </c>
      <c r="AH14" s="4">
        <f>SUBTOTAL(109,Mars[Total des jours])</f>
        <v>0</v>
      </c>
    </row>
  </sheetData>
  <mergeCells count="6">
    <mergeCell ref="C6:AG6"/>
    <mergeCell ref="D4:E4"/>
    <mergeCell ref="G4:I4"/>
    <mergeCell ref="K4:L4"/>
    <mergeCell ref="O4:R4"/>
    <mergeCell ref="T4:W4"/>
  </mergeCells>
  <phoneticPr fontId="32" type="noConversion"/>
  <conditionalFormatting sqref="C9:AG13">
    <cfRule type="expression" priority="1" stopIfTrue="1">
      <formula>C9=""</formula>
    </cfRule>
    <cfRule type="expression" dxfId="318" priority="2" stopIfTrue="1">
      <formula>C9=CléPersonnalisée2</formula>
    </cfRule>
    <cfRule type="expression" dxfId="317" priority="3" stopIfTrue="1">
      <formula>C9=CléPersonnalisée1</formula>
    </cfRule>
    <cfRule type="expression" dxfId="316" priority="4" stopIfTrue="1">
      <formula>C9=CléMaladie</formula>
    </cfRule>
    <cfRule type="expression" dxfId="315" priority="5" stopIfTrue="1">
      <formula>C9=CléPersonnel</formula>
    </cfRule>
    <cfRule type="expression" dxfId="314" priority="6" stopIfTrue="1">
      <formula>C9=CléCongé</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{7C2B6C3E-666E-4369-8C57-FD32A7D03A3C}</x14:id>
        </ext>
      </extLst>
    </cfRule>
  </conditionalFormatting>
  <dataValidations count="1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00000000-0002-0000-0200-000000000000}"/>
    <dataValidation allowBlank="1" showInputMessage="1" showErrorMessage="1" prompt="Entrez une étiquette pour décrire la clé personnalisée à gauche" sqref="T4 O4" xr:uid="{236E258B-317F-4F90-9EC8-3FA36770DCEF}"/>
    <dataValidation allowBlank="1" showInputMessage="1" showErrorMessage="1" prompt="Entrez une lettre et personnalisez l’étiquette à droite pour ajouter un élément de clé" sqref="S4 N4" xr:uid="{180D62B5-1414-43CC-84E1-4F0AD02D7F35}"/>
    <dataValidation allowBlank="1" showInputMessage="1" showErrorMessage="1" prompt="La lettre « M » indique une absence pour cause de maladie" sqref="J4" xr:uid="{68C27309-F093-4493-81AF-5E896234F3D8}"/>
    <dataValidation allowBlank="1" showInputMessage="1" showErrorMessage="1" prompt="La lettre « P » indique une absence pour motifs personnels" sqref="F4" xr:uid="{98772FAD-3938-4340-A613-9DA893AD15ED}"/>
    <dataValidation allowBlank="1" showInputMessage="1" showErrorMessage="1" prompt="La lettre « C » indique une absence pour cause de congé" sqref="C4" xr:uid="{821FA5FE-5E41-4467-BADB-BF70C47321A3}"/>
    <dataValidation allowBlank="1" showInputMessage="1" showErrorMessage="1" prompt="Le titre mis à jour automatiquement figure dans cette cellule. Pour modifier le titre, mettez à jour la cellule B1 de la feuille de calcul Janvier" sqref="B2" xr:uid="{00000000-0002-0000-0200-000009000000}"/>
    <dataValidation allowBlank="1" showInputMessage="1" showErrorMessage="1" prompt="Suivez les absences du mois de mars dans cette feuille de calcul" sqref="A1" xr:uid="{00000000-0002-0000-0200-00000B000000}"/>
    <dataValidation allowBlank="1" showInputMessage="1" showErrorMessage="1" prompt="Calcule automatiquement le nombre total de jours d’absence d’un employé durant ce mois dans cette colonne" sqref="AH8" xr:uid="{70BD9EEE-E1FD-D147-919D-901970D7AADE}"/>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02C7B989-E77F-4A4F-82FD-F03860560B2B}"/>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00000000-0002-0000-0200-000002000000}"/>
    <dataValidation allowBlank="1" showInputMessage="1" showErrorMessage="1" prompt="Cette ligne définit les clés utilisées dans le tableau : la cellule C4 un congé, la G4 personnel, et K4 un congé maladie. Les cellules N4 et R4 sont personnalisables " sqref="B4" xr:uid="{947725F6-73C5-443C-BF3C-4CA0C86F870B}"/>
    <dataValidation allowBlank="1" showInputMessage="1" showErrorMessage="1" prompt="Le titre de la feuille de calcul figure dans cette cellule. " sqref="B1" xr:uid="{B7E746BE-0808-4EA8-9C2E-DC8D64DA38EB}"/>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46CA840D-6165-4DF0-BD0D-F88E866A28B5}"/>
    <dataValidation allowBlank="1" showInputMessage="1" showErrorMessage="1" prompt="Entrez l’année dans cette cellule" sqref="AH6" xr:uid="{AB7EA3F2-3D6E-4B41-A272-12E1E85BC997}"/>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C2B6C3E-666E-4369-8C57-FD32A7D03A3C}">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E000000}">
          <x14:formula1>
            <xm:f>'Noms des Associations'!$B$4:$B$8</xm:f>
          </x14:formula1>
          <xm:sqref>B9:B13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sheetPr>
  <dimension ref="B1:AH14"/>
  <sheetViews>
    <sheetView showGridLines="0" zoomScaleNormal="100" workbookViewId="0">
      <selection activeCell="B1" sqref="B1:R1"/>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25" t="s">
        <v>41</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100.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TEXT(WEEKDAY(DATE(CalendarYear,4,1),1),"jjj")</f>
        <v>mar</v>
      </c>
      <c r="D7" s="20" t="str">
        <f>TEXT(WEEKDAY(DATE(CalendarYear,4,2),1),"jjj")</f>
        <v>mer</v>
      </c>
      <c r="E7" s="20" t="str">
        <f>TEXT(WEEKDAY(DATE(CalendarYear,4,3),1),"jjj")</f>
        <v>jeu</v>
      </c>
      <c r="F7" s="20" t="str">
        <f>TEXT(WEEKDAY(DATE(CalendarYear,4,4),1),"jjj")</f>
        <v>ven</v>
      </c>
      <c r="G7" s="20" t="str">
        <f>TEXT(WEEKDAY(DATE(CalendarYear,4,5),1),"jjj")</f>
        <v>sam</v>
      </c>
      <c r="H7" s="20" t="str">
        <f>TEXT(WEEKDAY(DATE(CalendarYear,4,6),1),"jjj")</f>
        <v>dim</v>
      </c>
      <c r="I7" s="20" t="str">
        <f>TEXT(WEEKDAY(DATE(CalendarYear,4,7),1),"jjj")</f>
        <v>lun</v>
      </c>
      <c r="J7" s="20" t="str">
        <f>TEXT(WEEKDAY(DATE(CalendarYear,4,8),1),"jjj")</f>
        <v>mar</v>
      </c>
      <c r="K7" s="20" t="str">
        <f>TEXT(WEEKDAY(DATE(CalendarYear,4,9),1),"jjj")</f>
        <v>mer</v>
      </c>
      <c r="L7" s="20" t="str">
        <f>TEXT(WEEKDAY(DATE(CalendarYear,4,10),1),"jjj")</f>
        <v>jeu</v>
      </c>
      <c r="M7" s="20" t="str">
        <f>TEXT(WEEKDAY(DATE(CalendarYear,4,11),1),"jjj")</f>
        <v>ven</v>
      </c>
      <c r="N7" s="20" t="str">
        <f>TEXT(WEEKDAY(DATE(CalendarYear,4,12),1),"jjj")</f>
        <v>sam</v>
      </c>
      <c r="O7" s="20" t="str">
        <f>TEXT(WEEKDAY(DATE(CalendarYear,4,13),1),"jjj")</f>
        <v>dim</v>
      </c>
      <c r="P7" s="20" t="str">
        <f>TEXT(WEEKDAY(DATE(CalendarYear,4,14),1),"jjj")</f>
        <v>lun</v>
      </c>
      <c r="Q7" s="20" t="str">
        <f>TEXT(WEEKDAY(DATE(CalendarYear,4,15),1),"jjj")</f>
        <v>mar</v>
      </c>
      <c r="R7" s="20" t="str">
        <f>TEXT(WEEKDAY(DATE(CalendarYear,4,16),1),"jjj")</f>
        <v>mer</v>
      </c>
      <c r="S7" s="20" t="str">
        <f>TEXT(WEEKDAY(DATE(CalendarYear,4,17),1),"jjj")</f>
        <v>jeu</v>
      </c>
      <c r="T7" s="20" t="str">
        <f>TEXT(WEEKDAY(DATE(CalendarYear,4,18),1),"jjj")</f>
        <v>ven</v>
      </c>
      <c r="U7" s="20" t="str">
        <f>TEXT(WEEKDAY(DATE(CalendarYear,4,19),1),"jjj")</f>
        <v>sam</v>
      </c>
      <c r="V7" s="20" t="str">
        <f>TEXT(WEEKDAY(DATE(CalendarYear,4,20),1),"jjj")</f>
        <v>dim</v>
      </c>
      <c r="W7" s="20" t="str">
        <f>TEXT(WEEKDAY(DATE(CalendarYear,4,21),1),"jjj")</f>
        <v>lun</v>
      </c>
      <c r="X7" s="20" t="str">
        <f>TEXT(WEEKDAY(DATE(CalendarYear,4,22),1),"jjj")</f>
        <v>mar</v>
      </c>
      <c r="Y7" s="20" t="str">
        <f>TEXT(WEEKDAY(DATE(CalendarYear,4,23),1),"jjj")</f>
        <v>mer</v>
      </c>
      <c r="Z7" s="20" t="str">
        <f>TEXT(WEEKDAY(DATE(CalendarYear,4,24),1),"jjj")</f>
        <v>jeu</v>
      </c>
      <c r="AA7" s="20" t="str">
        <f>TEXT(WEEKDAY(DATE(CalendarYear,4,25),1),"jjj")</f>
        <v>ven</v>
      </c>
      <c r="AB7" s="20" t="str">
        <f>TEXT(WEEKDAY(DATE(CalendarYear,4,26),1),"jjj")</f>
        <v>sam</v>
      </c>
      <c r="AC7" s="20" t="str">
        <f>TEXT(WEEKDAY(DATE(CalendarYear,4,27),1),"jjj")</f>
        <v>dim</v>
      </c>
      <c r="AD7" s="20" t="str">
        <f>TEXT(WEEKDAY(DATE(CalendarYear,4,28),1),"jjj")</f>
        <v>lun</v>
      </c>
      <c r="AE7" s="20" t="str">
        <f>TEXT(WEEKDAY(DATE(CalendarYear,4,29),1),"jjj")</f>
        <v>mar</v>
      </c>
      <c r="AF7" s="20" t="str">
        <f>TEXT(WEEKDAY(DATE(CalendarYear,4,30),1),"jjj")</f>
        <v>mer</v>
      </c>
      <c r="AG7" s="20"/>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38</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COUNTA(March5[[#This Row],[1]:[ ]])</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COUNTA(March5[[#This Row],[1]:[ ]])</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COUNTA(March5[[#This Row],[1]:[ ]])</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COUNTA(March5[[#This Row],[1]:[ ]])</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COUNTA(March5[[#This Row],[1]:[ ]])</f>
        <v>0</v>
      </c>
    </row>
    <row r="14" spans="2:34" ht="30" customHeight="1">
      <c r="B14" s="5" t="str">
        <f>NomMois&amp;" Total"</f>
        <v>Avril Total</v>
      </c>
      <c r="C14" s="4">
        <f>SUBTOTAL(103,March5[1])</f>
        <v>0</v>
      </c>
      <c r="D14" s="4">
        <f>SUBTOTAL(103,March5[2])</f>
        <v>0</v>
      </c>
      <c r="E14" s="4">
        <f>SUBTOTAL(103,March5[3])</f>
        <v>0</v>
      </c>
      <c r="F14" s="4">
        <f>SUBTOTAL(103,March5[4])</f>
        <v>0</v>
      </c>
      <c r="G14" s="4">
        <f>SUBTOTAL(103,March5[5])</f>
        <v>0</v>
      </c>
      <c r="H14" s="4">
        <f>SUBTOTAL(103,March5[6])</f>
        <v>0</v>
      </c>
      <c r="I14" s="4">
        <f>SUBTOTAL(103,March5[7])</f>
        <v>0</v>
      </c>
      <c r="J14" s="4">
        <f>SUBTOTAL(103,March5[8])</f>
        <v>0</v>
      </c>
      <c r="K14" s="4">
        <f>SUBTOTAL(103,March5[9])</f>
        <v>0</v>
      </c>
      <c r="L14" s="4">
        <f>SUBTOTAL(103,March5[10])</f>
        <v>0</v>
      </c>
      <c r="M14" s="4">
        <f>SUBTOTAL(103,March5[11])</f>
        <v>0</v>
      </c>
      <c r="N14" s="4">
        <f>SUBTOTAL(103,March5[12])</f>
        <v>0</v>
      </c>
      <c r="O14" s="4">
        <f>SUBTOTAL(103,March5[13])</f>
        <v>0</v>
      </c>
      <c r="P14" s="4">
        <f>SUBTOTAL(103,March5[14])</f>
        <v>0</v>
      </c>
      <c r="Q14" s="4">
        <f>SUBTOTAL(103,March5[15])</f>
        <v>0</v>
      </c>
      <c r="R14" s="4">
        <f>SUBTOTAL(103,March5[16])</f>
        <v>0</v>
      </c>
      <c r="S14" s="4">
        <f>SUBTOTAL(103,March5[17])</f>
        <v>0</v>
      </c>
      <c r="T14" s="4">
        <f>SUBTOTAL(103,March5[18])</f>
        <v>0</v>
      </c>
      <c r="U14" s="4">
        <f>SUBTOTAL(103,March5[19])</f>
        <v>0</v>
      </c>
      <c r="V14" s="4">
        <f>SUBTOTAL(103,March5[20])</f>
        <v>0</v>
      </c>
      <c r="W14" s="4">
        <f>SUBTOTAL(103,March5[21])</f>
        <v>0</v>
      </c>
      <c r="X14" s="4">
        <f>SUBTOTAL(103,March5[22])</f>
        <v>0</v>
      </c>
      <c r="Y14" s="4">
        <f>SUBTOTAL(103,March5[23])</f>
        <v>0</v>
      </c>
      <c r="Z14" s="4">
        <f>SUBTOTAL(103,March5[24])</f>
        <v>0</v>
      </c>
      <c r="AA14" s="4">
        <f>SUBTOTAL(103,March5[25])</f>
        <v>0</v>
      </c>
      <c r="AB14" s="4">
        <f>SUBTOTAL(103,March5[26])</f>
        <v>0</v>
      </c>
      <c r="AC14" s="4">
        <f>SUBTOTAL(103,March5[27])</f>
        <v>0</v>
      </c>
      <c r="AD14" s="4">
        <f>SUBTOTAL(103,March5[28])</f>
        <v>0</v>
      </c>
      <c r="AE14" s="4">
        <f>SUBTOTAL(103,March5[29])</f>
        <v>0</v>
      </c>
      <c r="AF14" s="4">
        <f>SUBTOTAL(109,March5[30])</f>
        <v>0</v>
      </c>
      <c r="AG14" s="4">
        <f>SUBTOTAL(109,March5[[ ]])</f>
        <v>0</v>
      </c>
      <c r="AH14" s="4">
        <f>SUBTOTAL(109,March5[Total des jours])</f>
        <v>0</v>
      </c>
    </row>
  </sheetData>
  <mergeCells count="6">
    <mergeCell ref="C6:AG6"/>
    <mergeCell ref="D4:E4"/>
    <mergeCell ref="G4:I4"/>
    <mergeCell ref="K4:L4"/>
    <mergeCell ref="O4:R4"/>
    <mergeCell ref="T4:W4"/>
  </mergeCells>
  <phoneticPr fontId="7" type="noConversion"/>
  <conditionalFormatting sqref="C9:AG13">
    <cfRule type="expression" priority="1" stopIfTrue="1">
      <formula>C9=""</formula>
    </cfRule>
    <cfRule type="expression" dxfId="313" priority="2" stopIfTrue="1">
      <formula>C9=CléPersonnalisée2</formula>
    </cfRule>
    <cfRule type="expression" dxfId="312" priority="3" stopIfTrue="1">
      <formula>C9=CléPersonnalisée1</formula>
    </cfRule>
    <cfRule type="expression" dxfId="311" priority="4" stopIfTrue="1">
      <formula>C9=CléMaladie</formula>
    </cfRule>
    <cfRule type="expression" dxfId="310" priority="5" stopIfTrue="1">
      <formula>C9=CléPersonnel</formula>
    </cfRule>
    <cfRule type="expression" dxfId="309" priority="6" stopIfTrue="1">
      <formula>C9=CléCongé</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{C6C51CE4-E5A5-6548-B677-75BFC57A1AE7}</x14:id>
        </ext>
      </extLst>
    </cfRule>
  </conditionalFormatting>
  <dataValidations count="15">
    <dataValidation allowBlank="1" showInputMessage="1" showErrorMessage="1" prompt="Calcule automatiquement le nombre total de jours d’absence d’un employé ce mois-ci dans cette colonne" sqref="AH8" xr:uid="{DC341019-F88D-494A-80A9-FE7E975A2861}"/>
    <dataValidation allowBlank="1" showInputMessage="1" showErrorMessage="1" prompt="Le titre mis à jour automatiquement figure dans cette cellule. Pour modifier le titre, mettez à jour la cellule B1 de la feuille de calcul Janvier" sqref="B2" xr:uid="{FC807180-F3E3-414D-9702-8FBC5210B550}"/>
    <dataValidation allowBlank="1" showInputMessage="1" showErrorMessage="1" prompt="La lettre « C » indique une absence pour cause de congé" sqref="C4" xr:uid="{30C477F3-E02A-4E6B-8CA2-33AB8184A7D9}"/>
    <dataValidation allowBlank="1" showInputMessage="1" showErrorMessage="1" prompt="La lettre « P » indique une absence pour motifs personnels" sqref="F4" xr:uid="{997EA466-D975-4FA7-A85C-A138756114CF}"/>
    <dataValidation allowBlank="1" showInputMessage="1" showErrorMessage="1" prompt="La lettre « M » indique une absence pour cause de maladie" sqref="J4" xr:uid="{9929ABE4-740E-4A8E-8567-BCF94E14BA1B}"/>
    <dataValidation allowBlank="1" showInputMessage="1" showErrorMessage="1" prompt="Entrez une lettre et personnalisez l’étiquette à droite pour ajouter un élément de clé" sqref="S4 N4" xr:uid="{9CE34E44-DA58-42BF-856F-357B16F06B8A}"/>
    <dataValidation allowBlank="1" showInputMessage="1" showErrorMessage="1" prompt="Entrez une étiquette pour décrire la clé personnalisée à gauche" sqref="T4 O4" xr:uid="{C9B79DD2-C35A-4868-A849-437D05E74602}"/>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8A4BB08A-5DC1-A74C-9332-E844D960CD41}"/>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8" xr:uid="{D8726BCE-956C-3B41-916D-0B0F98B156A4}"/>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492FF65C-4A5C-D048-AC41-58954D7E6423}"/>
    <dataValidation allowBlank="1" showInputMessage="1" showErrorMessage="1" prompt="Suivez les absences du mois de mars dans cette feuille de calcul" sqref="A1" xr:uid="{9C29030B-C671-584C-88AB-6E5DAA9E8710}"/>
    <dataValidation allowBlank="1" showInputMessage="1" showErrorMessage="1" prompt="Cette ligne définit les clés utilisées dans le tableau : la cellule C4 un congé, la G4 personnel, et K4 un congé maladie. Les cellules N4 et R4 sont personnalisables " sqref="B4" xr:uid="{1EEF347F-FB0E-4D76-8F3B-6430FFE08B2E}"/>
    <dataValidation allowBlank="1" showInputMessage="1" showErrorMessage="1" prompt="Le titre de la feuille de calcul figure dans cette cellule. " sqref="B1" xr:uid="{575248C0-68FD-422D-8603-C664726DE021}"/>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7E7FB047-9AD3-4ED1-9070-9F41D64F9AD4}"/>
    <dataValidation allowBlank="1" showInputMessage="1" showErrorMessage="1" prompt="Entrez l’année dans cette cellule" sqref="AH6" xr:uid="{F63C317E-2C79-449C-A9CD-22CD75F29F60}"/>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6C51CE4-E5A5-6548-B677-75BFC57A1AE7}">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A0626E6-C18A-DC42-8971-E3030B4FEB3F}">
          <x14:formula1>
            <xm:f>'Noms des Associations'!$B$4:$B$8</xm:f>
          </x14:formula1>
          <xm:sqref>B9:B13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B1:AH14"/>
  <sheetViews>
    <sheetView showGridLines="0" zoomScaleNormal="100" workbookViewId="0">
      <selection activeCell="B1" sqref="B1:R1"/>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25" t="s">
        <v>42</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80.2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TEXT(WEEKDAY(DATE(CalendarYear,5,1),1),"jjj")</f>
        <v>jeu</v>
      </c>
      <c r="D7" s="20" t="str">
        <f>TEXT(WEEKDAY(DATE(CalendarYear,5,2),1),"jjj")</f>
        <v>ven</v>
      </c>
      <c r="E7" s="20" t="str">
        <f>TEXT(WEEKDAY(DATE(CalendarYear,5,3),1),"jjj")</f>
        <v>sam</v>
      </c>
      <c r="F7" s="20" t="str">
        <f>TEXT(WEEKDAY(DATE(CalendarYear,5,4),1),"jjj")</f>
        <v>dim</v>
      </c>
      <c r="G7" s="20" t="str">
        <f>TEXT(WEEKDAY(DATE(CalendarYear,5,5),1),"jjj")</f>
        <v>lun</v>
      </c>
      <c r="H7" s="20" t="str">
        <f>TEXT(WEEKDAY(DATE(CalendarYear,5,6),1),"jjj")</f>
        <v>mar</v>
      </c>
      <c r="I7" s="20" t="str">
        <f>TEXT(WEEKDAY(DATE(CalendarYear,5,7),1),"jjj")</f>
        <v>mer</v>
      </c>
      <c r="J7" s="20" t="str">
        <f>TEXT(WEEKDAY(DATE(CalendarYear,5,8),1),"jjj")</f>
        <v>jeu</v>
      </c>
      <c r="K7" s="20" t="str">
        <f>TEXT(WEEKDAY(DATE(CalendarYear,5,9),1),"jjj")</f>
        <v>ven</v>
      </c>
      <c r="L7" s="20" t="str">
        <f>TEXT(WEEKDAY(DATE(CalendarYear,5,10),1),"jjj")</f>
        <v>sam</v>
      </c>
      <c r="M7" s="20" t="str">
        <f>TEXT(WEEKDAY(DATE(CalendarYear,5,11),1),"jjj")</f>
        <v>dim</v>
      </c>
      <c r="N7" s="20" t="str">
        <f>TEXT(WEEKDAY(DATE(CalendarYear,5,12),1),"jjj")</f>
        <v>lun</v>
      </c>
      <c r="O7" s="20" t="str">
        <f>TEXT(WEEKDAY(DATE(CalendarYear,5,13),1),"jjj")</f>
        <v>mar</v>
      </c>
      <c r="P7" s="20" t="str">
        <f>TEXT(WEEKDAY(DATE(CalendarYear,5,14),1),"jjj")</f>
        <v>mer</v>
      </c>
      <c r="Q7" s="20" t="str">
        <f>TEXT(WEEKDAY(DATE(CalendarYear,5,15),1),"jjj")</f>
        <v>jeu</v>
      </c>
      <c r="R7" s="20" t="str">
        <f>TEXT(WEEKDAY(DATE(CalendarYear,5,16),1),"jjj")</f>
        <v>ven</v>
      </c>
      <c r="S7" s="20" t="str">
        <f>TEXT(WEEKDAY(DATE(CalendarYear,5,17),1),"jjj")</f>
        <v>sam</v>
      </c>
      <c r="T7" s="20" t="str">
        <f>TEXT(WEEKDAY(DATE(CalendarYear,5,18),1),"jjj")</f>
        <v>dim</v>
      </c>
      <c r="U7" s="20" t="str">
        <f>TEXT(WEEKDAY(DATE(CalendarYear,5,19),1),"jjj")</f>
        <v>lun</v>
      </c>
      <c r="V7" s="20" t="str">
        <f>TEXT(WEEKDAY(DATE(CalendarYear,5,20),1),"jjj")</f>
        <v>mar</v>
      </c>
      <c r="W7" s="20" t="str">
        <f>TEXT(WEEKDAY(DATE(CalendarYear,5,21),1),"jjj")</f>
        <v>mer</v>
      </c>
      <c r="X7" s="20" t="str">
        <f>TEXT(WEEKDAY(DATE(CalendarYear,5,22),1),"jjj")</f>
        <v>jeu</v>
      </c>
      <c r="Y7" s="20" t="str">
        <f>TEXT(WEEKDAY(DATE(CalendarYear,5,23),1),"jjj")</f>
        <v>ven</v>
      </c>
      <c r="Z7" s="20" t="str">
        <f>TEXT(WEEKDAY(DATE(CalendarYear,5,24),1),"jjj")</f>
        <v>sam</v>
      </c>
      <c r="AA7" s="20" t="str">
        <f>TEXT(WEEKDAY(DATE(CalendarYear,5,25),1),"jjj")</f>
        <v>dim</v>
      </c>
      <c r="AB7" s="20" t="str">
        <f>TEXT(WEEKDAY(DATE(CalendarYear,5,26),1),"jjj")</f>
        <v>lun</v>
      </c>
      <c r="AC7" s="20" t="str">
        <f>TEXT(WEEKDAY(DATE(CalendarYear,5,27),1),"jjj")</f>
        <v>mar</v>
      </c>
      <c r="AD7" s="20" t="str">
        <f>TEXT(WEEKDAY(DATE(CalendarYear,5,28),1),"jjj")</f>
        <v>mer</v>
      </c>
      <c r="AE7" s="20" t="str">
        <f>TEXT(WEEKDAY(DATE(CalendarYear,5,29),1),"jjj")</f>
        <v>jeu</v>
      </c>
      <c r="AF7" s="20" t="str">
        <f>TEXT(WEEKDAY(DATE(CalendarYear,5,30),1),"jjj")</f>
        <v>ven</v>
      </c>
      <c r="AG7" s="20" t="str">
        <f>TEXT(WEEKDAY(DATE(CalendarYear,5,31),1),"jjj")</f>
        <v>sam</v>
      </c>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35</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COUNTA(March58[[#This Row],[1]:[31]])</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COUNTA(March58[[#This Row],[1]:[31]])</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COUNTA(March58[[#This Row],[1]:[31]])</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COUNTA(March58[[#This Row],[1]:[31]])</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COUNTA(March58[[#This Row],[1]:[31]])</f>
        <v>0</v>
      </c>
    </row>
    <row r="14" spans="2:34" ht="30" customHeight="1">
      <c r="B14" s="5" t="str">
        <f>NomMois&amp;" Total"</f>
        <v>Clé d'identification du réservataire Total</v>
      </c>
      <c r="C14" s="4">
        <f>SUBTOTAL(103,March58[1])</f>
        <v>0</v>
      </c>
      <c r="D14" s="4">
        <f>SUBTOTAL(103,March58[2])</f>
        <v>0</v>
      </c>
      <c r="E14" s="4">
        <f>SUBTOTAL(103,March58[3])</f>
        <v>0</v>
      </c>
      <c r="F14" s="4">
        <f>SUBTOTAL(103,March58[4])</f>
        <v>0</v>
      </c>
      <c r="G14" s="4">
        <f>SUBTOTAL(103,March58[5])</f>
        <v>0</v>
      </c>
      <c r="H14" s="4">
        <f>SUBTOTAL(103,March58[6])</f>
        <v>0</v>
      </c>
      <c r="I14" s="4">
        <f>SUBTOTAL(103,March58[7])</f>
        <v>0</v>
      </c>
      <c r="J14" s="4">
        <f>SUBTOTAL(103,March58[8])</f>
        <v>0</v>
      </c>
      <c r="K14" s="4">
        <f>SUBTOTAL(103,March58[9])</f>
        <v>0</v>
      </c>
      <c r="L14" s="4">
        <f>SUBTOTAL(103,March58[10])</f>
        <v>0</v>
      </c>
      <c r="M14" s="4">
        <f>SUBTOTAL(103,March58[11])</f>
        <v>0</v>
      </c>
      <c r="N14" s="4">
        <f>SUBTOTAL(103,March58[12])</f>
        <v>0</v>
      </c>
      <c r="O14" s="4">
        <f>SUBTOTAL(103,March58[13])</f>
        <v>0</v>
      </c>
      <c r="P14" s="4">
        <f>SUBTOTAL(103,March58[14])</f>
        <v>0</v>
      </c>
      <c r="Q14" s="4">
        <f>SUBTOTAL(103,March58[15])</f>
        <v>0</v>
      </c>
      <c r="R14" s="4">
        <f>SUBTOTAL(103,March58[16])</f>
        <v>0</v>
      </c>
      <c r="S14" s="4">
        <f>SUBTOTAL(103,March58[17])</f>
        <v>0</v>
      </c>
      <c r="T14" s="4">
        <f>SUBTOTAL(103,March58[18])</f>
        <v>0</v>
      </c>
      <c r="U14" s="4">
        <f>SUBTOTAL(103,March58[19])</f>
        <v>0</v>
      </c>
      <c r="V14" s="4">
        <f>SUBTOTAL(103,March58[20])</f>
        <v>0</v>
      </c>
      <c r="W14" s="4">
        <f>SUBTOTAL(103,March58[21])</f>
        <v>0</v>
      </c>
      <c r="X14" s="4">
        <f>SUBTOTAL(103,March58[22])</f>
        <v>0</v>
      </c>
      <c r="Y14" s="4">
        <f>SUBTOTAL(103,March58[23])</f>
        <v>0</v>
      </c>
      <c r="Z14" s="4">
        <f>SUBTOTAL(103,March58[24])</f>
        <v>0</v>
      </c>
      <c r="AA14" s="4">
        <f>SUBTOTAL(103,March58[25])</f>
        <v>0</v>
      </c>
      <c r="AB14" s="4">
        <f>SUBTOTAL(103,March58[26])</f>
        <v>0</v>
      </c>
      <c r="AC14" s="4">
        <f>SUBTOTAL(103,March58[27])</f>
        <v>0</v>
      </c>
      <c r="AD14" s="4">
        <f>SUBTOTAL(103,March58[28])</f>
        <v>0</v>
      </c>
      <c r="AE14" s="4">
        <f>SUBTOTAL(103,March58[29])</f>
        <v>0</v>
      </c>
      <c r="AF14" s="4">
        <f>SUBTOTAL(109,March58[30])</f>
        <v>0</v>
      </c>
      <c r="AG14" s="4">
        <f>SUBTOTAL(109,March58[31])</f>
        <v>0</v>
      </c>
      <c r="AH14" s="4">
        <f>SUBTOTAL(109,March58[Total des jours])</f>
        <v>0</v>
      </c>
    </row>
  </sheetData>
  <mergeCells count="6">
    <mergeCell ref="C6:AG6"/>
    <mergeCell ref="D4:E4"/>
    <mergeCell ref="G4:I4"/>
    <mergeCell ref="K4:L4"/>
    <mergeCell ref="O4:R4"/>
    <mergeCell ref="T4:W4"/>
  </mergeCells>
  <phoneticPr fontId="32" type="noConversion"/>
  <conditionalFormatting sqref="C9:AG13">
    <cfRule type="expression" priority="1" stopIfTrue="1">
      <formula>C9=""</formula>
    </cfRule>
    <cfRule type="expression" dxfId="308" priority="2" stopIfTrue="1">
      <formula>C9=CléPersonnalisée2</formula>
    </cfRule>
    <cfRule type="expression" dxfId="307" priority="3" stopIfTrue="1">
      <formula>C9=CléPersonnalisée1</formula>
    </cfRule>
    <cfRule type="expression" dxfId="306" priority="4" stopIfTrue="1">
      <formula>C9=CléMaladie</formula>
    </cfRule>
    <cfRule type="expression" dxfId="305" priority="5" stopIfTrue="1">
      <formula>C9=CléPersonnel</formula>
    </cfRule>
    <cfRule type="expression" dxfId="304" priority="6" stopIfTrue="1">
      <formula>C9=CléCongé</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{A375B1A4-CE4E-6D4B-BAE6-14354F30C96E}</x14:id>
        </ext>
      </extLst>
    </cfRule>
  </conditionalFormatting>
  <dataValidations count="1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335D4725-041B-2E47-BBA9-5D657DA932CD}"/>
    <dataValidation allowBlank="1" showInputMessage="1" showErrorMessage="1" prompt="Entrez une étiquette pour décrire la clé personnalisée à gauche" sqref="T4 O4" xr:uid="{39E750BB-3C33-4365-9649-0A5638D99C95}"/>
    <dataValidation allowBlank="1" showInputMessage="1" showErrorMessage="1" prompt="Entrez une lettre et personnalisez l’étiquette à droite pour ajouter un élément de clé" sqref="S4 N4" xr:uid="{2066E343-3D3C-4AC5-A651-6AFF77622259}"/>
    <dataValidation allowBlank="1" showInputMessage="1" showErrorMessage="1" prompt="La lettre « M » indique une absence pour cause de maladie" sqref="J4" xr:uid="{E586750A-FDF8-45CB-AE50-3B5B78FDB574}"/>
    <dataValidation allowBlank="1" showInputMessage="1" showErrorMessage="1" prompt="La lettre « P » indique une absence pour motifs personnels" sqref="F4" xr:uid="{BF2CD145-D363-4872-8CB9-96F8EF31D3CE}"/>
    <dataValidation allowBlank="1" showInputMessage="1" showErrorMessage="1" prompt="La lettre « C » indique une absence pour cause de congé" sqref="C4" xr:uid="{9CDA6868-E347-4886-8D6A-7B97BC8E9190}"/>
    <dataValidation allowBlank="1" showInputMessage="1" showErrorMessage="1" prompt="Le titre mis à jour automatiquement figure dans cette cellule. Pour modifier le titre, mettez à jour la cellule B1 de la feuille de calcul Janvier" sqref="B2" xr:uid="{AF65042B-CFA9-EE45-B22D-BF607EFD23A2}"/>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51C29F95-4EEB-4E86-8675-A777DE3DCE27}"/>
    <dataValidation allowBlank="1" showInputMessage="1" showErrorMessage="1" prompt="Calcule automatiquement le nombre total de jours d’absence d’un employé ce mois-ci dans cette colonne" sqref="AH8" xr:uid="{AA6AB7B7-5D91-F64F-B211-A848209375D2}"/>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01F3DA31-27D6-FF4D-B48B-4013BF344DCF}"/>
    <dataValidation allowBlank="1" showInputMessage="1" showErrorMessage="1" prompt="Suivez les absences du mois de mars dans cette feuille de calcul" sqref="A1" xr:uid="{13CF1C37-090E-F24B-AF68-CAE6199B19CC}"/>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B5AA8D04-FE35-8C4F-90FD-347160FC6301}"/>
    <dataValidation allowBlank="1" showInputMessage="1" showErrorMessage="1" prompt="Cette ligne définit les clés utilisées dans le tableau : la cellule C4 un congé, la G4 personnel, et K4 un congé maladie. Les cellules N4 et R4 sont personnalisables " sqref="B4" xr:uid="{66BB162B-97A2-4CB7-BAC9-73ADCA79B0F5}"/>
    <dataValidation allowBlank="1" showInputMessage="1" showErrorMessage="1" prompt="Le titre de la feuille de calcul figure dans cette cellule. " sqref="B1" xr:uid="{9AE27042-B6DB-4DC4-AB50-62585604C4C5}"/>
    <dataValidation allowBlank="1" showInputMessage="1" showErrorMessage="1" prompt="Entrez l’année dans cette cellule" sqref="AH6" xr:uid="{3C28DEBA-0BB3-4C7F-AEE7-16E2F4EAF6CC}"/>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375B1A4-CE4E-6D4B-BAE6-14354F30C96E}">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1B1DACF-B091-8040-A452-F5B0F1F6A6F7}">
          <x14:formula1>
            <xm:f>'Noms des Associations'!$B$4:$B$8</xm:f>
          </x14:formula1>
          <xm:sqref>B9:B13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B1:AH14"/>
  <sheetViews>
    <sheetView showGridLines="0" zoomScaleNormal="100" workbookViewId="0">
      <selection activeCell="H2" sqref="H2"/>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30" t="s">
        <v>43</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105.7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TEXT(WEEKDAY(DATE(CalendarYear,6,1),1),"jjj")</f>
        <v>dim</v>
      </c>
      <c r="D7" s="20" t="str">
        <f>TEXT(WEEKDAY(DATE(CalendarYear,6,2),1),"jjj")</f>
        <v>lun</v>
      </c>
      <c r="E7" s="20" t="str">
        <f>TEXT(WEEKDAY(DATE(CalendarYear,6,3),1),"jjj")</f>
        <v>mar</v>
      </c>
      <c r="F7" s="20" t="str">
        <f>TEXT(WEEKDAY(DATE(CalendarYear,6,4),1),"jjj")</f>
        <v>mer</v>
      </c>
      <c r="G7" s="20" t="str">
        <f>TEXT(WEEKDAY(DATE(CalendarYear,6,5),1),"jjj")</f>
        <v>jeu</v>
      </c>
      <c r="H7" s="20" t="str">
        <f>TEXT(WEEKDAY(DATE(CalendarYear,6,6),1),"jjj")</f>
        <v>ven</v>
      </c>
      <c r="I7" s="20" t="str">
        <f>TEXT(WEEKDAY(DATE(CalendarYear,6,7),1),"jjj")</f>
        <v>sam</v>
      </c>
      <c r="J7" s="20" t="str">
        <f>TEXT(WEEKDAY(DATE(CalendarYear,6,8),1),"jjj")</f>
        <v>dim</v>
      </c>
      <c r="K7" s="20" t="str">
        <f>TEXT(WEEKDAY(DATE(CalendarYear,6,9),1),"jjj")</f>
        <v>lun</v>
      </c>
      <c r="L7" s="20" t="str">
        <f>TEXT(WEEKDAY(DATE(CalendarYear,6,10),1),"jjj")</f>
        <v>mar</v>
      </c>
      <c r="M7" s="20" t="str">
        <f>TEXT(WEEKDAY(DATE(CalendarYear,6,11),1),"jjj")</f>
        <v>mer</v>
      </c>
      <c r="N7" s="20" t="str">
        <f>TEXT(WEEKDAY(DATE(CalendarYear,6,12),1),"jjj")</f>
        <v>jeu</v>
      </c>
      <c r="O7" s="20" t="str">
        <f>TEXT(WEEKDAY(DATE(CalendarYear,6,13),1),"jjj")</f>
        <v>ven</v>
      </c>
      <c r="P7" s="20" t="str">
        <f>TEXT(WEEKDAY(DATE(CalendarYear,6,14),1),"jjj")</f>
        <v>sam</v>
      </c>
      <c r="Q7" s="20" t="str">
        <f>TEXT(WEEKDAY(DATE(CalendarYear,6,15),1),"jjj")</f>
        <v>dim</v>
      </c>
      <c r="R7" s="20" t="str">
        <f>TEXT(WEEKDAY(DATE(CalendarYear,6,16),1),"jjj")</f>
        <v>lun</v>
      </c>
      <c r="S7" s="20" t="str">
        <f>TEXT(WEEKDAY(DATE(CalendarYear,6,17),1),"jjj")</f>
        <v>mar</v>
      </c>
      <c r="T7" s="20" t="str">
        <f>TEXT(WEEKDAY(DATE(CalendarYear,6,18),1),"jjj")</f>
        <v>mer</v>
      </c>
      <c r="U7" s="20" t="str">
        <f>TEXT(WEEKDAY(DATE(CalendarYear,6,19),1),"jjj")</f>
        <v>jeu</v>
      </c>
      <c r="V7" s="20" t="str">
        <f>TEXT(WEEKDAY(DATE(CalendarYear,6,20),1),"jjj")</f>
        <v>ven</v>
      </c>
      <c r="W7" s="20" t="str">
        <f>TEXT(WEEKDAY(DATE(CalendarYear,6,21),1),"jjj")</f>
        <v>sam</v>
      </c>
      <c r="X7" s="20" t="str">
        <f>TEXT(WEEKDAY(DATE(CalendarYear,6,22),1),"jjj")</f>
        <v>dim</v>
      </c>
      <c r="Y7" s="20" t="str">
        <f>TEXT(WEEKDAY(DATE(CalendarYear,6,23),1),"jjj")</f>
        <v>lun</v>
      </c>
      <c r="Z7" s="20" t="str">
        <f>TEXT(WEEKDAY(DATE(CalendarYear,6,24),1),"jjj")</f>
        <v>mar</v>
      </c>
      <c r="AA7" s="20" t="str">
        <f>TEXT(WEEKDAY(DATE(CalendarYear,6,25),1),"jjj")</f>
        <v>mer</v>
      </c>
      <c r="AB7" s="20" t="str">
        <f>TEXT(WEEKDAY(DATE(CalendarYear,6,26),1),"jjj")</f>
        <v>jeu</v>
      </c>
      <c r="AC7" s="20" t="str">
        <f>TEXT(WEEKDAY(DATE(CalendarYear,6,27),1),"jjj")</f>
        <v>ven</v>
      </c>
      <c r="AD7" s="20" t="str">
        <f>TEXT(WEEKDAY(DATE(CalendarYear,6,28),1),"jjj")</f>
        <v>sam</v>
      </c>
      <c r="AE7" s="20" t="str">
        <f>TEXT(WEEKDAY(DATE(CalendarYear,6,29),1),"jjj")</f>
        <v>dim</v>
      </c>
      <c r="AF7" s="20" t="str">
        <f>TEXT(WEEKDAY(DATE(CalendarYear,6,30),1),"jjj")</f>
        <v>lun</v>
      </c>
      <c r="AG7" s="20"/>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38</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COUNTA(Juin[[#This Row],[1]:[ ]])</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COUNTA(Juin[[#This Row],[1]:[ ]])</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COUNTA(Juin[[#This Row],[1]:[ ]])</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COUNTA(Juin[[#This Row],[1]:[ ]])</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COUNTA(Juin[[#This Row],[1]:[ ]])</f>
        <v>0</v>
      </c>
    </row>
    <row r="14" spans="2:34" ht="30" customHeight="1">
      <c r="B14" s="5" t="str">
        <f>NomMois&amp;" Total"</f>
        <v>Juin Total</v>
      </c>
      <c r="C14" s="4">
        <f>SUBTOTAL(103,Juin[1])</f>
        <v>0</v>
      </c>
      <c r="D14" s="4">
        <f>SUBTOTAL(103,Juin[2])</f>
        <v>0</v>
      </c>
      <c r="E14" s="4">
        <f>SUBTOTAL(103,Juin[3])</f>
        <v>0</v>
      </c>
      <c r="F14" s="4">
        <f>SUBTOTAL(103,Juin[4])</f>
        <v>0</v>
      </c>
      <c r="G14" s="4">
        <f>SUBTOTAL(103,Juin[5])</f>
        <v>0</v>
      </c>
      <c r="H14" s="4">
        <f>SUBTOTAL(103,Juin[6])</f>
        <v>0</v>
      </c>
      <c r="I14" s="4">
        <f>SUBTOTAL(103,Juin[7])</f>
        <v>0</v>
      </c>
      <c r="J14" s="4">
        <f>SUBTOTAL(103,Juin[8])</f>
        <v>0</v>
      </c>
      <c r="K14" s="4">
        <f>SUBTOTAL(103,Juin[9])</f>
        <v>0</v>
      </c>
      <c r="L14" s="4">
        <f>SUBTOTAL(103,Juin[10])</f>
        <v>0</v>
      </c>
      <c r="M14" s="4">
        <f>SUBTOTAL(103,Juin[11])</f>
        <v>0</v>
      </c>
      <c r="N14" s="4">
        <f>SUBTOTAL(103,Juin[12])</f>
        <v>0</v>
      </c>
      <c r="O14" s="4">
        <f>SUBTOTAL(103,Juin[13])</f>
        <v>0</v>
      </c>
      <c r="P14" s="4">
        <f>SUBTOTAL(103,Juin[14])</f>
        <v>0</v>
      </c>
      <c r="Q14" s="4">
        <f>SUBTOTAL(103,Juin[15])</f>
        <v>0</v>
      </c>
      <c r="R14" s="4">
        <f>SUBTOTAL(103,Juin[16])</f>
        <v>0</v>
      </c>
      <c r="S14" s="4">
        <f>SUBTOTAL(103,Juin[17])</f>
        <v>0</v>
      </c>
      <c r="T14" s="4">
        <f>SUBTOTAL(103,Juin[18])</f>
        <v>0</v>
      </c>
      <c r="U14" s="4">
        <f>SUBTOTAL(103,Juin[19])</f>
        <v>0</v>
      </c>
      <c r="V14" s="4">
        <f>SUBTOTAL(103,Juin[20])</f>
        <v>0</v>
      </c>
      <c r="W14" s="4">
        <f>SUBTOTAL(103,Juin[21])</f>
        <v>0</v>
      </c>
      <c r="X14" s="4">
        <f>SUBTOTAL(103,Juin[22])</f>
        <v>0</v>
      </c>
      <c r="Y14" s="4">
        <f>SUBTOTAL(103,Juin[23])</f>
        <v>0</v>
      </c>
      <c r="Z14" s="4">
        <f>SUBTOTAL(103,Juin[24])</f>
        <v>0</v>
      </c>
      <c r="AA14" s="4">
        <f>SUBTOTAL(103,Juin[25])</f>
        <v>0</v>
      </c>
      <c r="AB14" s="4">
        <f>SUBTOTAL(103,Juin[26])</f>
        <v>0</v>
      </c>
      <c r="AC14" s="4">
        <f>SUBTOTAL(103,Juin[27])</f>
        <v>0</v>
      </c>
      <c r="AD14" s="4">
        <f>SUBTOTAL(103,Juin[28])</f>
        <v>0</v>
      </c>
      <c r="AE14" s="4">
        <f>SUBTOTAL(103,Juin[29])</f>
        <v>0</v>
      </c>
      <c r="AF14" s="4">
        <f>SUBTOTAL(109,Juin[30])</f>
        <v>0</v>
      </c>
      <c r="AG14" s="4">
        <f>SUBTOTAL(109,Juin[[ ]])</f>
        <v>0</v>
      </c>
      <c r="AH14" s="4">
        <f>SUBTOTAL(109,Juin[Total des jours])</f>
        <v>0</v>
      </c>
    </row>
  </sheetData>
  <mergeCells count="6">
    <mergeCell ref="C6:AG6"/>
    <mergeCell ref="D4:E4"/>
    <mergeCell ref="G4:I4"/>
    <mergeCell ref="K4:L4"/>
    <mergeCell ref="O4:R4"/>
    <mergeCell ref="T4:W4"/>
  </mergeCells>
  <phoneticPr fontId="32" type="noConversion"/>
  <conditionalFormatting sqref="C9:AG13">
    <cfRule type="expression" priority="1" stopIfTrue="1">
      <formula>C9=""</formula>
    </cfRule>
    <cfRule type="expression" dxfId="303" priority="2" stopIfTrue="1">
      <formula>C9=CléPersonnalisée2</formula>
    </cfRule>
    <cfRule type="expression" dxfId="302" priority="3" stopIfTrue="1">
      <formula>C9=CléPersonnalisée1</formula>
    </cfRule>
    <cfRule type="expression" dxfId="301" priority="4" stopIfTrue="1">
      <formula>C9=CléMaladie</formula>
    </cfRule>
    <cfRule type="expression" dxfId="300" priority="5" stopIfTrue="1">
      <formula>C9=CléPersonnel</formula>
    </cfRule>
    <cfRule type="expression" dxfId="299" priority="6" stopIfTrue="1">
      <formula>C9=CléCongé</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{5E94D469-7B22-408B-924D-8DC8A136AD3B}</x14:id>
        </ext>
      </extLst>
    </cfRule>
  </conditionalFormatting>
  <dataValidations count="15">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85B1AA25-701F-5E4F-A537-8492818323AC}"/>
    <dataValidation allowBlank="1" showInputMessage="1" showErrorMessage="1" prompt="Calcule automatiquement le nombre total de jours d’absence d’un employé durant ce mois dans cette colonne" sqref="AH8" xr:uid="{EFC3BF89-2526-1648-9032-54E38409D629}"/>
    <dataValidation allowBlank="1" showInputMessage="1" showErrorMessage="1" prompt="Suivez les absences du mois de juin dans cette feuille de calcul" sqref="A1" xr:uid="{00000000-0002-0000-0500-000003000000}"/>
    <dataValidation allowBlank="1" showInputMessage="1" showErrorMessage="1" prompt="Le titre mis à jour automatiquement figure dans cette cellule. Pour modifier le titre, mettez à jour la cellule B1 de la feuille de calcul Janvier" sqref="B2" xr:uid="{00000000-0002-0000-0500-000005000000}"/>
    <dataValidation allowBlank="1" showInputMessage="1" showErrorMessage="1" prompt="La lettre « C » indique une absence pour cause de congé" sqref="C4" xr:uid="{A73CA28D-B473-461F-80AE-137CE7CAF4C9}"/>
    <dataValidation allowBlank="1" showInputMessage="1" showErrorMessage="1" prompt="La lettre « P » indique une absence pour motifs personnels" sqref="F4" xr:uid="{AC2BFF28-240D-4C60-AF9F-C7662305D3A1}"/>
    <dataValidation allowBlank="1" showInputMessage="1" showErrorMessage="1" prompt="La lettre « M » indique une absence pour cause de maladie" sqref="J4" xr:uid="{B014E9AA-6003-412D-8486-D63D2D202EC1}"/>
    <dataValidation allowBlank="1" showInputMessage="1" showErrorMessage="1" prompt="Entrez une lettre et personnalisez l’étiquette à droite pour ajouter un élément de clé" sqref="S4 N4" xr:uid="{7CC9D5C6-5C84-4A48-8115-6C086920C6FF}"/>
    <dataValidation allowBlank="1" showInputMessage="1" showErrorMessage="1" prompt="Entrez une étiquette pour décrire la clé personnalisée à gauche" sqref="T4 O4" xr:uid="{6B278CC1-C8B7-4C00-B618-5FC12F940A84}"/>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00000000-0002-0000-0500-00000C000000}"/>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5F765F6B-473A-3349-9925-D065E8DF0F17}"/>
    <dataValidation allowBlank="1" showInputMessage="1" showErrorMessage="1" prompt="Cette ligne définit les clés utilisées dans le tableau : la cellule C4 un congé, la G4 personnel, et K4 un congé maladie. Les cellules N4 et R4 sont personnalisables " sqref="B4" xr:uid="{8D60199B-53A1-4B70-9EE2-A99E2B6B0F5F}"/>
    <dataValidation allowBlank="1" showInputMessage="1" showErrorMessage="1" prompt="Le titre de la feuille de calcul figure dans cette cellule. " sqref="B1" xr:uid="{77C24AAC-9FEB-4F68-AB41-581E067BF9F5}"/>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DF4C86D4-5733-46A3-85A2-8D3857497046}"/>
    <dataValidation allowBlank="1" showInputMessage="1" showErrorMessage="1" prompt="Entrez l’année dans cette cellule" sqref="AH6" xr:uid="{D7114DD5-99C6-40DB-958B-84DADBFD02E5}"/>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E94D469-7B22-408B-924D-8DC8A136AD3B}">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E000000}">
          <x14:formula1>
            <xm:f>'Noms des Associations'!$B$4:$B$8</xm:f>
          </x14:formula1>
          <xm:sqref>B9:B13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B1:AH14"/>
  <sheetViews>
    <sheetView showGridLines="0" zoomScaleNormal="100" workbookViewId="0">
      <selection activeCell="B1" sqref="B1:R1"/>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31" t="s">
        <v>44</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91.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TEXT(WEEKDAY(DATE(CalendarYear,7,1),1),"jjj")</f>
        <v>mar</v>
      </c>
      <c r="D7" s="20" t="str">
        <f>TEXT(WEEKDAY(DATE(CalendarYear,7,2),1),"jjj")</f>
        <v>mer</v>
      </c>
      <c r="E7" s="20" t="str">
        <f>TEXT(WEEKDAY(DATE(CalendarYear,7,3),1),"jjj")</f>
        <v>jeu</v>
      </c>
      <c r="F7" s="20" t="str">
        <f>TEXT(WEEKDAY(DATE(CalendarYear,7,4),1),"jjj")</f>
        <v>ven</v>
      </c>
      <c r="G7" s="20" t="str">
        <f>TEXT(WEEKDAY(DATE(CalendarYear,7,5),1),"jjj")</f>
        <v>sam</v>
      </c>
      <c r="H7" s="20" t="str">
        <f>TEXT(WEEKDAY(DATE(CalendarYear,7,6),1),"jjj")</f>
        <v>dim</v>
      </c>
      <c r="I7" s="20" t="str">
        <f>TEXT(WEEKDAY(DATE(CalendarYear,7,7),1),"jjj")</f>
        <v>lun</v>
      </c>
      <c r="J7" s="20" t="str">
        <f>TEXT(WEEKDAY(DATE(CalendarYear,7,8),1),"jjj")</f>
        <v>mar</v>
      </c>
      <c r="K7" s="20" t="str">
        <f>TEXT(WEEKDAY(DATE(CalendarYear,7,9),1),"jjj")</f>
        <v>mer</v>
      </c>
      <c r="L7" s="20" t="str">
        <f>TEXT(WEEKDAY(DATE(CalendarYear,7,10),1),"jjj")</f>
        <v>jeu</v>
      </c>
      <c r="M7" s="20" t="str">
        <f>TEXT(WEEKDAY(DATE(CalendarYear,7,11),1),"jjj")</f>
        <v>ven</v>
      </c>
      <c r="N7" s="20" t="str">
        <f>TEXT(WEEKDAY(DATE(CalendarYear,7,12),1),"jjj")</f>
        <v>sam</v>
      </c>
      <c r="O7" s="20" t="str">
        <f>TEXT(WEEKDAY(DATE(CalendarYear,7,13),1),"jjj")</f>
        <v>dim</v>
      </c>
      <c r="P7" s="20" t="str">
        <f>TEXT(WEEKDAY(DATE(CalendarYear,7,14),1),"jjj")</f>
        <v>lun</v>
      </c>
      <c r="Q7" s="20" t="str">
        <f>TEXT(WEEKDAY(DATE(CalendarYear,7,15),1),"jjj")</f>
        <v>mar</v>
      </c>
      <c r="R7" s="20" t="str">
        <f>TEXT(WEEKDAY(DATE(CalendarYear,7,16),1),"jjj")</f>
        <v>mer</v>
      </c>
      <c r="S7" s="20" t="str">
        <f>TEXT(WEEKDAY(DATE(CalendarYear,7,17),1),"jjj")</f>
        <v>jeu</v>
      </c>
      <c r="T7" s="20" t="str">
        <f>TEXT(WEEKDAY(DATE(CalendarYear,7,18),1),"jjj")</f>
        <v>ven</v>
      </c>
      <c r="U7" s="20" t="str">
        <f>TEXT(WEEKDAY(DATE(CalendarYear,7,19),1),"jjj")</f>
        <v>sam</v>
      </c>
      <c r="V7" s="20" t="str">
        <f>TEXT(WEEKDAY(DATE(CalendarYear,7,20),1),"jjj")</f>
        <v>dim</v>
      </c>
      <c r="W7" s="20" t="str">
        <f>TEXT(WEEKDAY(DATE(CalendarYear,7,21),1),"jjj")</f>
        <v>lun</v>
      </c>
      <c r="X7" s="20" t="str">
        <f>TEXT(WEEKDAY(DATE(CalendarYear,7,22),1),"jjj")</f>
        <v>mar</v>
      </c>
      <c r="Y7" s="20" t="str">
        <f>TEXT(WEEKDAY(DATE(CalendarYear,7,23),1),"jjj")</f>
        <v>mer</v>
      </c>
      <c r="Z7" s="20" t="str">
        <f>TEXT(WEEKDAY(DATE(CalendarYear,7,24),1),"jjj")</f>
        <v>jeu</v>
      </c>
      <c r="AA7" s="20" t="str">
        <f>TEXT(WEEKDAY(DATE(CalendarYear,7,25),1),"jjj")</f>
        <v>ven</v>
      </c>
      <c r="AB7" s="20" t="str">
        <f>TEXT(WEEKDAY(DATE(CalendarYear,7,26),1),"jjj")</f>
        <v>sam</v>
      </c>
      <c r="AC7" s="20" t="str">
        <f>TEXT(WEEKDAY(DATE(CalendarYear,7,27),1),"jjj")</f>
        <v>dim</v>
      </c>
      <c r="AD7" s="20" t="str">
        <f>TEXT(WEEKDAY(DATE(CalendarYear,7,28),1),"jjj")</f>
        <v>lun</v>
      </c>
      <c r="AE7" s="20" t="str">
        <f>TEXT(WEEKDAY(DATE(CalendarYear,7,29),1),"jjj")</f>
        <v>mar</v>
      </c>
      <c r="AF7" s="20" t="str">
        <f>TEXT(WEEKDAY(DATE(CalendarYear,7,30),1),"jjj")</f>
        <v>mer</v>
      </c>
      <c r="AG7" s="20" t="str">
        <f>TEXT(WEEKDAY(DATE(CalendarYear,7,31),1),"jjj")</f>
        <v>jeu</v>
      </c>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35</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COUNTA(Juillet[[#This Row],[1]:[31]])</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COUNTA(Juillet[[#This Row],[1]:[31]])</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COUNTA(Juillet[[#This Row],[1]:[31]])</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COUNTA(Juillet[[#This Row],[1]:[31]])</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COUNTA(Juillet[[#This Row],[1]:[31]])</f>
        <v>0</v>
      </c>
    </row>
    <row r="14" spans="2:34" ht="30" customHeight="1">
      <c r="B14" s="5" t="str">
        <f>NomMois&amp;" Total"</f>
        <v>Juillet Total</v>
      </c>
      <c r="C14" s="4">
        <f>SUBTOTAL(103,Juillet[1])</f>
        <v>0</v>
      </c>
      <c r="D14" s="4">
        <f>SUBTOTAL(103,Juillet[2])</f>
        <v>0</v>
      </c>
      <c r="E14" s="4">
        <f>SUBTOTAL(103,Juillet[3])</f>
        <v>0</v>
      </c>
      <c r="F14" s="4">
        <f>SUBTOTAL(103,Juillet[4])</f>
        <v>0</v>
      </c>
      <c r="G14" s="4">
        <f>SUBTOTAL(103,Juillet[5])</f>
        <v>0</v>
      </c>
      <c r="H14" s="4">
        <f>SUBTOTAL(103,Juillet[6])</f>
        <v>0</v>
      </c>
      <c r="I14" s="4">
        <f>SUBTOTAL(103,Juillet[7])</f>
        <v>0</v>
      </c>
      <c r="J14" s="4">
        <f>SUBTOTAL(103,Juillet[8])</f>
        <v>0</v>
      </c>
      <c r="K14" s="4">
        <f>SUBTOTAL(103,Juillet[9])</f>
        <v>0</v>
      </c>
      <c r="L14" s="4">
        <f>SUBTOTAL(103,Juillet[10])</f>
        <v>0</v>
      </c>
      <c r="M14" s="4">
        <f>SUBTOTAL(103,Juillet[11])</f>
        <v>0</v>
      </c>
      <c r="N14" s="4">
        <f>SUBTOTAL(103,Juillet[12])</f>
        <v>0</v>
      </c>
      <c r="O14" s="4">
        <f>SUBTOTAL(103,Juillet[13])</f>
        <v>0</v>
      </c>
      <c r="P14" s="4">
        <f>SUBTOTAL(103,Juillet[14])</f>
        <v>0</v>
      </c>
      <c r="Q14" s="4">
        <f>SUBTOTAL(103,Juillet[15])</f>
        <v>0</v>
      </c>
      <c r="R14" s="4">
        <f>SUBTOTAL(103,Juillet[16])</f>
        <v>0</v>
      </c>
      <c r="S14" s="4">
        <f>SUBTOTAL(103,Juillet[17])</f>
        <v>0</v>
      </c>
      <c r="T14" s="4">
        <f>SUBTOTAL(103,Juillet[18])</f>
        <v>0</v>
      </c>
      <c r="U14" s="4">
        <f>SUBTOTAL(103,Juillet[19])</f>
        <v>0</v>
      </c>
      <c r="V14" s="4">
        <f>SUBTOTAL(103,Juillet[20])</f>
        <v>0</v>
      </c>
      <c r="W14" s="4">
        <f>SUBTOTAL(103,Juillet[21])</f>
        <v>0</v>
      </c>
      <c r="X14" s="4">
        <f>SUBTOTAL(103,Juillet[22])</f>
        <v>0</v>
      </c>
      <c r="Y14" s="4">
        <f>SUBTOTAL(103,Juillet[23])</f>
        <v>0</v>
      </c>
      <c r="Z14" s="4">
        <f>SUBTOTAL(103,Juillet[24])</f>
        <v>0</v>
      </c>
      <c r="AA14" s="4">
        <f>SUBTOTAL(103,Juillet[25])</f>
        <v>0</v>
      </c>
      <c r="AB14" s="4">
        <f>SUBTOTAL(103,Juillet[26])</f>
        <v>0</v>
      </c>
      <c r="AC14" s="4">
        <f>SUBTOTAL(103,Juillet[27])</f>
        <v>0</v>
      </c>
      <c r="AD14" s="4">
        <f>SUBTOTAL(103,Juillet[28])</f>
        <v>0</v>
      </c>
      <c r="AE14" s="4">
        <f>SUBTOTAL(103,Juillet[29])</f>
        <v>0</v>
      </c>
      <c r="AF14" s="4">
        <f>SUBTOTAL(109,Juillet[30])</f>
        <v>0</v>
      </c>
      <c r="AG14" s="4">
        <f>SUBTOTAL(109,Juillet[31])</f>
        <v>0</v>
      </c>
      <c r="AH14" s="4">
        <f>SUBTOTAL(109,Juillet[Total des jours])</f>
        <v>0</v>
      </c>
    </row>
  </sheetData>
  <mergeCells count="6">
    <mergeCell ref="C6:AG6"/>
    <mergeCell ref="D4:E4"/>
    <mergeCell ref="G4:I4"/>
    <mergeCell ref="K4:L4"/>
    <mergeCell ref="O4:R4"/>
    <mergeCell ref="T4:W4"/>
  </mergeCells>
  <phoneticPr fontId="32" type="noConversion"/>
  <conditionalFormatting sqref="C9:AG13">
    <cfRule type="expression" priority="1" stopIfTrue="1">
      <formula>C9=""</formula>
    </cfRule>
    <cfRule type="expression" dxfId="298" priority="2" stopIfTrue="1">
      <formula>C9=CléPersonnalisée2</formula>
    </cfRule>
    <cfRule type="expression" dxfId="297" priority="3" stopIfTrue="1">
      <formula>C9=CléPersonnalisée1</formula>
    </cfRule>
    <cfRule type="expression" dxfId="296" priority="4" stopIfTrue="1">
      <formula>C9=CléMaladie</formula>
    </cfRule>
    <cfRule type="expression" dxfId="295" priority="5" stopIfTrue="1">
      <formula>C9=CléPersonnel</formula>
    </cfRule>
    <cfRule type="expression" dxfId="294" priority="6" stopIfTrue="1">
      <formula>C9=CléCongé</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{E0DCF129-9B2A-4CEB-9E56-27607F4BED20}</x14:id>
        </ext>
      </extLst>
    </cfRule>
  </conditionalFormatting>
  <dataValidations count="1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03C1A45F-45B9-C64C-AB94-81563D673730}"/>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00000000-0002-0000-0600-000001000000}"/>
    <dataValidation allowBlank="1" showInputMessage="1" showErrorMessage="1" prompt="Entrez une étiquette pour décrire la clé personnalisée à gauche" sqref="T4 O4" xr:uid="{DFE88AD8-D1D6-4ABB-BE37-CF894FBD41AD}"/>
    <dataValidation allowBlank="1" showInputMessage="1" showErrorMessage="1" prompt="Entrez une lettre et personnalisez l’étiquette à droite pour ajouter un élément de clé" sqref="S4 N4" xr:uid="{0924249E-1BD0-4889-94B5-A92F40320A0C}"/>
    <dataValidation allowBlank="1" showInputMessage="1" showErrorMessage="1" prompt="La lettre « M » indique une absence pour cause de maladie" sqref="J4" xr:uid="{CE1EF68F-FEE6-423D-8778-C8A44DFAFFE2}"/>
    <dataValidation allowBlank="1" showInputMessage="1" showErrorMessage="1" prompt="La lettre « P » indique une absence pour motifs personnels" sqref="F4" xr:uid="{DF6C04A7-0347-424B-9616-90F05FF0C510}"/>
    <dataValidation allowBlank="1" showInputMessage="1" showErrorMessage="1" prompt="La lettre « C » indique une absence pour cause de congé" sqref="C4" xr:uid="{69FF906C-8842-4190-B5D7-4756E72365A9}"/>
    <dataValidation allowBlank="1" showInputMessage="1" showErrorMessage="1" prompt="Le titre mis à jour automatiquement figure dans cette cellule. Pour modifier le titre, mettez à jour la cellule B1 de la feuille de calcul Janvier" sqref="B2" xr:uid="{00000000-0002-0000-0600-000008000000}"/>
    <dataValidation allowBlank="1" showInputMessage="1" showErrorMessage="1" prompt="Suivez les absences du mois de juillet dans cette feuille de calcul" sqref="A1" xr:uid="{00000000-0002-0000-0600-00000A000000}"/>
    <dataValidation allowBlank="1" showInputMessage="1" showErrorMessage="1" prompt="Calcule automatiquement le nombre total de jours d’absence d’un employé durant ce mois dans cette colonne" sqref="AH8" xr:uid="{7EEB97FE-C4E8-0B42-8F26-4ACE0C358EA5}"/>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956AA00F-FA3E-EE4C-BC75-65E8AA2EA95F}"/>
    <dataValidation allowBlank="1" showInputMessage="1" showErrorMessage="1" prompt="Cette ligne définit les clés utilisées dans le tableau : la cellule C4 un congé, la G4 personnel, et K4 un congé maladie. Les cellules N4 et R4 sont personnalisables " sqref="B4" xr:uid="{761E8E0B-1DF3-4D33-853B-F4907E1261A8}"/>
    <dataValidation allowBlank="1" showInputMessage="1" showErrorMessage="1" prompt="Le titre de la feuille de calcul figure dans cette cellule. " sqref="B1" xr:uid="{98431A98-6719-4A87-9320-0EF40E1B9349}"/>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2ACA4894-9151-4F5A-950D-2E9DFEDCBA30}"/>
    <dataValidation allowBlank="1" showInputMessage="1" showErrorMessage="1" prompt="Entrez l’année dans cette cellule" sqref="AH6" xr:uid="{55EB0677-CA00-486B-AFCC-B0AA467DA586}"/>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0DCF129-9B2A-4CEB-9E56-27607F4BED20}">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E000000}">
          <x14:formula1>
            <xm:f>'Noms des Associations'!$B$4:$B$8</xm:f>
          </x14:formula1>
          <xm:sqref>B9:B13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B1:AH14"/>
  <sheetViews>
    <sheetView showGridLines="0" zoomScaleNormal="100" workbookViewId="0">
      <selection activeCell="C2" sqref="C2"/>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30" t="s">
        <v>45</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97.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TEXT(WEEKDAY(DATE(CalendarYear,8,1),1),"jjj")</f>
        <v>ven</v>
      </c>
      <c r="D7" s="20" t="str">
        <f>TEXT(WEEKDAY(DATE(CalendarYear,8,2),1),"jjj")</f>
        <v>sam</v>
      </c>
      <c r="E7" s="20" t="str">
        <f>TEXT(WEEKDAY(DATE(CalendarYear,8,3),1),"jjj")</f>
        <v>dim</v>
      </c>
      <c r="F7" s="20" t="str">
        <f>TEXT(WEEKDAY(DATE(CalendarYear,8,4),1),"jjj")</f>
        <v>lun</v>
      </c>
      <c r="G7" s="20" t="str">
        <f>TEXT(WEEKDAY(DATE(CalendarYear,8,5),1),"jjj")</f>
        <v>mar</v>
      </c>
      <c r="H7" s="20" t="str">
        <f>TEXT(WEEKDAY(DATE(CalendarYear,8,6),1),"jjj")</f>
        <v>mer</v>
      </c>
      <c r="I7" s="20" t="str">
        <f>TEXT(WEEKDAY(DATE(CalendarYear,8,7),1),"jjj")</f>
        <v>jeu</v>
      </c>
      <c r="J7" s="20" t="str">
        <f>TEXT(WEEKDAY(DATE(CalendarYear,8,8),1),"jjj")</f>
        <v>ven</v>
      </c>
      <c r="K7" s="20" t="str">
        <f>TEXT(WEEKDAY(DATE(CalendarYear,8,9),1),"jjj")</f>
        <v>sam</v>
      </c>
      <c r="L7" s="20" t="str">
        <f>TEXT(WEEKDAY(DATE(CalendarYear,8,10),1),"jjj")</f>
        <v>dim</v>
      </c>
      <c r="M7" s="20" t="str">
        <f>TEXT(WEEKDAY(DATE(CalendarYear,8,11),1),"jjj")</f>
        <v>lun</v>
      </c>
      <c r="N7" s="20" t="str">
        <f>TEXT(WEEKDAY(DATE(CalendarYear,8,12),1),"jjj")</f>
        <v>mar</v>
      </c>
      <c r="O7" s="20" t="str">
        <f>TEXT(WEEKDAY(DATE(CalendarYear,8,13),1),"jjj")</f>
        <v>mer</v>
      </c>
      <c r="P7" s="20" t="str">
        <f>TEXT(WEEKDAY(DATE(CalendarYear,8,14),1),"jjj")</f>
        <v>jeu</v>
      </c>
      <c r="Q7" s="20" t="str">
        <f>TEXT(WEEKDAY(DATE(CalendarYear,8,15),1),"jjj")</f>
        <v>ven</v>
      </c>
      <c r="R7" s="20" t="str">
        <f>TEXT(WEEKDAY(DATE(CalendarYear,8,16),1),"jjj")</f>
        <v>sam</v>
      </c>
      <c r="S7" s="20" t="str">
        <f>TEXT(WEEKDAY(DATE(CalendarYear,8,17),1),"jjj")</f>
        <v>dim</v>
      </c>
      <c r="T7" s="20" t="str">
        <f>TEXT(WEEKDAY(DATE(CalendarYear,8,18),1),"jjj")</f>
        <v>lun</v>
      </c>
      <c r="U7" s="20" t="str">
        <f>TEXT(WEEKDAY(DATE(CalendarYear,8,19),1),"jjj")</f>
        <v>mar</v>
      </c>
      <c r="V7" s="20" t="str">
        <f>TEXT(WEEKDAY(DATE(CalendarYear,8,20),1),"jjj")</f>
        <v>mer</v>
      </c>
      <c r="W7" s="20" t="str">
        <f>TEXT(WEEKDAY(DATE(CalendarYear,8,21),1),"jjj")</f>
        <v>jeu</v>
      </c>
      <c r="X7" s="20" t="str">
        <f>TEXT(WEEKDAY(DATE(CalendarYear,8,22),1),"jjj")</f>
        <v>ven</v>
      </c>
      <c r="Y7" s="20" t="str">
        <f>TEXT(WEEKDAY(DATE(CalendarYear,8,23),1),"jjj")</f>
        <v>sam</v>
      </c>
      <c r="Z7" s="20" t="str">
        <f>TEXT(WEEKDAY(DATE(CalendarYear,8,24),1),"jjj")</f>
        <v>dim</v>
      </c>
      <c r="AA7" s="20" t="str">
        <f>TEXT(WEEKDAY(DATE(CalendarYear,8,25),1),"jjj")</f>
        <v>lun</v>
      </c>
      <c r="AB7" s="20" t="str">
        <f>TEXT(WEEKDAY(DATE(CalendarYear,8,26),1),"jjj")</f>
        <v>mar</v>
      </c>
      <c r="AC7" s="20" t="str">
        <f>TEXT(WEEKDAY(DATE(CalendarYear,8,27),1),"jjj")</f>
        <v>mer</v>
      </c>
      <c r="AD7" s="20" t="str">
        <f>TEXT(WEEKDAY(DATE(CalendarYear,8,28),1),"jjj")</f>
        <v>jeu</v>
      </c>
      <c r="AE7" s="20" t="str">
        <f>TEXT(WEEKDAY(DATE(CalendarYear,8,29),1),"jjj")</f>
        <v>ven</v>
      </c>
      <c r="AF7" s="20" t="str">
        <f>TEXT(WEEKDAY(DATE(CalendarYear,8,30),1),"jjj")</f>
        <v>sam</v>
      </c>
      <c r="AG7" s="20" t="str">
        <f>TEXT(WEEKDAY(DATE(CalendarYear,8,31),1),"jjj")</f>
        <v>dim</v>
      </c>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35</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COUNTA(Août[[#This Row],[1]:[31]])</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COUNTA(Août[[#This Row],[1]:[31]])</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COUNTA(Août[[#This Row],[1]:[31]])</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COUNTA(Août[[#This Row],[1]:[31]])</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COUNTA(Août[[#This Row],[1]:[31]])</f>
        <v>0</v>
      </c>
    </row>
    <row r="14" spans="2:34" ht="30" customHeight="1">
      <c r="B14" s="5" t="str">
        <f>NomMois&amp;" Total"</f>
        <v>Août Total</v>
      </c>
      <c r="C14" s="4">
        <f>SUBTOTAL(103,Août[1])</f>
        <v>0</v>
      </c>
      <c r="D14" s="4">
        <f>SUBTOTAL(103,Août[2])</f>
        <v>0</v>
      </c>
      <c r="E14" s="4">
        <f>SUBTOTAL(103,Août[3])</f>
        <v>0</v>
      </c>
      <c r="F14" s="4">
        <f>SUBTOTAL(103,Août[4])</f>
        <v>0</v>
      </c>
      <c r="G14" s="4">
        <f>SUBTOTAL(103,Août[5])</f>
        <v>0</v>
      </c>
      <c r="H14" s="4">
        <f>SUBTOTAL(103,Août[6])</f>
        <v>0</v>
      </c>
      <c r="I14" s="4">
        <f>SUBTOTAL(103,Août[7])</f>
        <v>0</v>
      </c>
      <c r="J14" s="4">
        <f>SUBTOTAL(103,Août[8])</f>
        <v>0</v>
      </c>
      <c r="K14" s="4">
        <f>SUBTOTAL(103,Août[9])</f>
        <v>0</v>
      </c>
      <c r="L14" s="4">
        <f>SUBTOTAL(103,Août[10])</f>
        <v>0</v>
      </c>
      <c r="M14" s="4">
        <f>SUBTOTAL(103,Août[11])</f>
        <v>0</v>
      </c>
      <c r="N14" s="4">
        <f>SUBTOTAL(103,Août[12])</f>
        <v>0</v>
      </c>
      <c r="O14" s="4">
        <f>SUBTOTAL(103,Août[13])</f>
        <v>0</v>
      </c>
      <c r="P14" s="4">
        <f>SUBTOTAL(103,Août[14])</f>
        <v>0</v>
      </c>
      <c r="Q14" s="4">
        <f>SUBTOTAL(103,Août[15])</f>
        <v>0</v>
      </c>
      <c r="R14" s="4">
        <f>SUBTOTAL(103,Août[16])</f>
        <v>0</v>
      </c>
      <c r="S14" s="4">
        <f>SUBTOTAL(103,Août[17])</f>
        <v>0</v>
      </c>
      <c r="T14" s="4">
        <f>SUBTOTAL(103,Août[18])</f>
        <v>0</v>
      </c>
      <c r="U14" s="4">
        <f>SUBTOTAL(103,Août[19])</f>
        <v>0</v>
      </c>
      <c r="V14" s="4">
        <f>SUBTOTAL(103,Août[20])</f>
        <v>0</v>
      </c>
      <c r="W14" s="4">
        <f>SUBTOTAL(103,Août[21])</f>
        <v>0</v>
      </c>
      <c r="X14" s="4">
        <f>SUBTOTAL(103,Août[22])</f>
        <v>0</v>
      </c>
      <c r="Y14" s="4">
        <f>SUBTOTAL(103,Août[23])</f>
        <v>0</v>
      </c>
      <c r="Z14" s="4">
        <f>SUBTOTAL(103,Août[24])</f>
        <v>0</v>
      </c>
      <c r="AA14" s="4">
        <f>SUBTOTAL(103,Août[25])</f>
        <v>0</v>
      </c>
      <c r="AB14" s="4">
        <f>SUBTOTAL(103,Août[26])</f>
        <v>0</v>
      </c>
      <c r="AC14" s="4">
        <f>SUBTOTAL(103,Août[27])</f>
        <v>0</v>
      </c>
      <c r="AD14" s="4">
        <f>SUBTOTAL(103,Août[28])</f>
        <v>0</v>
      </c>
      <c r="AE14" s="4">
        <f>SUBTOTAL(103,Août[29])</f>
        <v>0</v>
      </c>
      <c r="AF14" s="4">
        <f>SUBTOTAL(109,Août[30])</f>
        <v>0</v>
      </c>
      <c r="AG14" s="4">
        <f>SUBTOTAL(109,Août[31])</f>
        <v>0</v>
      </c>
      <c r="AH14" s="4">
        <f>SUBTOTAL(109,Août[Total des jours])</f>
        <v>0</v>
      </c>
    </row>
  </sheetData>
  <mergeCells count="6">
    <mergeCell ref="C6:AG6"/>
    <mergeCell ref="D4:E4"/>
    <mergeCell ref="G4:I4"/>
    <mergeCell ref="K4:L4"/>
    <mergeCell ref="O4:R4"/>
    <mergeCell ref="T4:W4"/>
  </mergeCells>
  <phoneticPr fontId="32" type="noConversion"/>
  <conditionalFormatting sqref="C9:AG13">
    <cfRule type="expression" priority="1" stopIfTrue="1">
      <formula>C9=""</formula>
    </cfRule>
    <cfRule type="expression" dxfId="293" priority="2" stopIfTrue="1">
      <formula>C9=CléPersonnalisée2</formula>
    </cfRule>
    <cfRule type="expression" dxfId="292" priority="3" stopIfTrue="1">
      <formula>C9=CléPersonnalisée1</formula>
    </cfRule>
    <cfRule type="expression" dxfId="291" priority="4" stopIfTrue="1">
      <formula>C9=CléMaladie</formula>
    </cfRule>
    <cfRule type="expression" dxfId="290" priority="5" stopIfTrue="1">
      <formula>C9=CléPersonnel</formula>
    </cfRule>
    <cfRule type="expression" dxfId="289" priority="6" stopIfTrue="1">
      <formula>C9=CléCongé</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{09900229-9536-43AB-AAE0-FC121BDECD61}</x14:id>
        </ext>
      </extLst>
    </cfRule>
  </conditionalFormatting>
  <dataValidations count="15">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C31066D8-39EA-EB48-A883-D56040D3EA81}"/>
    <dataValidation allowBlank="1" showInputMessage="1" showErrorMessage="1" prompt="Calcule automatiquement le nombre total de jours d’absence d’un employé durant ce mois dans cette colonne" sqref="AH8" xr:uid="{AC80500B-13F9-964F-8855-BCABB1C8AF13}"/>
    <dataValidation allowBlank="1" showInputMessage="1" showErrorMessage="1" prompt="Suivez les absences du mois d’août dans cette feuille de calcul" sqref="A1" xr:uid="{00000000-0002-0000-0700-000003000000}"/>
    <dataValidation allowBlank="1" showInputMessage="1" showErrorMessage="1" prompt="Le titre mis à jour automatiquement figure dans cette cellule. Pour modifier le titre, mettez à jour la cellule B1 de la feuille de calcul Janvier" sqref="B2" xr:uid="{00000000-0002-0000-0700-000005000000}"/>
    <dataValidation allowBlank="1" showInputMessage="1" showErrorMessage="1" prompt="La lettre « C » indique une absence pour cause de congé" sqref="C4" xr:uid="{F687C4C8-1F53-4904-92F6-DF0FB70DDCFF}"/>
    <dataValidation allowBlank="1" showInputMessage="1" showErrorMessage="1" prompt="La lettre « P » indique une absence pour motifs personnels" sqref="F4" xr:uid="{95F01E3C-23A8-42E6-9F61-404ACEFD57BD}"/>
    <dataValidation allowBlank="1" showInputMessage="1" showErrorMessage="1" prompt="La lettre « M » indique une absence pour cause de maladie" sqref="J4" xr:uid="{CC556BD5-6388-4C2B-A139-A12BAFEEC777}"/>
    <dataValidation allowBlank="1" showInputMessage="1" showErrorMessage="1" prompt="Entrez une lettre et personnalisez l’étiquette à droite pour ajouter un élément de clé" sqref="S4 N4" xr:uid="{CC1AB3E3-8E39-43D4-BD62-68C80BEBC3CC}"/>
    <dataValidation allowBlank="1" showInputMessage="1" showErrorMessage="1" prompt="Entrez une étiquette pour décrire la clé personnalisée à gauche" sqref="T4 O4" xr:uid="{F8D95393-18DF-4262-A065-FF8BCCD6B486}"/>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00000000-0002-0000-0700-00000C000000}"/>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ACF8EA0E-6010-5D46-9524-6055BFC9D4A3}"/>
    <dataValidation allowBlank="1" showInputMessage="1" showErrorMessage="1" prompt="Cette ligne définit les clés utilisées dans le tableau : la cellule C4 un congé, la G4 personnel, et K4 un congé maladie. Les cellules N4 et R4 sont personnalisables " sqref="B4" xr:uid="{8B385A05-D7B7-4E19-B950-59521BDC38ED}"/>
    <dataValidation allowBlank="1" showInputMessage="1" showErrorMessage="1" prompt="Le titre de la feuille de calcul figure dans cette cellule. " sqref="B1" xr:uid="{66A0503F-5E9F-4187-A6E6-2193570E0E39}"/>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E4286C35-E45A-4A9D-911C-80B1746A8207}"/>
    <dataValidation allowBlank="1" showInputMessage="1" showErrorMessage="1" prompt="Entrez l’année dans cette cellule" sqref="AH6" xr:uid="{E1ED8E69-730B-42C3-89A7-CFBE1DC154B9}"/>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9900229-9536-43AB-AAE0-FC121BDECD61}">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E000000}">
          <x14:formula1>
            <xm:f>'Noms des Associations'!$B$4:$B$8</xm:f>
          </x14:formula1>
          <xm:sqref>B9:B13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B1:AH14"/>
  <sheetViews>
    <sheetView showGridLines="0" zoomScaleNormal="100" workbookViewId="0">
      <selection activeCell="B1" sqref="B1:R1"/>
    </sheetView>
  </sheetViews>
  <sheetFormatPr baseColWidth="10" defaultColWidth="8.7109375" defaultRowHeight="30" customHeight="1"/>
  <cols>
    <col min="1" max="1" width="2.7109375" customWidth="1"/>
    <col min="2" max="2" width="30.28515625" customWidth="1"/>
    <col min="3" max="33" width="4.7109375" customWidth="1"/>
    <col min="34" max="34" width="13.42578125" customWidth="1"/>
    <col min="35" max="35" width="2.7109375" customWidth="1"/>
  </cols>
  <sheetData>
    <row r="1" spans="2:34" ht="50.1" customHeight="1">
      <c r="B1" s="23" t="s">
        <v>51</v>
      </c>
      <c r="C1" s="14"/>
      <c r="D1" s="14"/>
      <c r="E1" s="14"/>
      <c r="F1" s="14"/>
      <c r="G1" s="14"/>
      <c r="H1" s="14"/>
      <c r="I1" s="14"/>
      <c r="J1" s="14"/>
      <c r="K1" s="14"/>
      <c r="L1" s="14"/>
      <c r="M1" s="14"/>
      <c r="N1" s="14"/>
      <c r="O1" s="14"/>
      <c r="P1" s="14"/>
      <c r="Q1" s="14"/>
      <c r="R1" s="14"/>
    </row>
    <row r="2" spans="2:34" ht="100.35" customHeight="1">
      <c r="B2" s="29" t="s">
        <v>46</v>
      </c>
    </row>
    <row r="3" spans="2:34" ht="15" customHeight="1">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row>
    <row r="4" spans="2:34" ht="88.5" customHeight="1">
      <c r="B4" s="35" t="s">
        <v>52</v>
      </c>
      <c r="C4" s="28" t="s">
        <v>6</v>
      </c>
      <c r="D4" s="36" t="s">
        <v>53</v>
      </c>
      <c r="E4" s="36"/>
      <c r="F4" s="26" t="s">
        <v>54</v>
      </c>
      <c r="G4" s="36" t="s">
        <v>55</v>
      </c>
      <c r="H4" s="36"/>
      <c r="I4" s="36"/>
      <c r="J4" s="27" t="s">
        <v>56</v>
      </c>
      <c r="K4" s="36" t="s">
        <v>57</v>
      </c>
      <c r="L4" s="36"/>
      <c r="M4" s="32"/>
      <c r="N4" s="37" t="s">
        <v>2</v>
      </c>
      <c r="O4" s="36" t="s">
        <v>58</v>
      </c>
      <c r="P4" s="36"/>
      <c r="Q4" s="36"/>
      <c r="R4" s="36"/>
      <c r="S4" s="39"/>
      <c r="T4" s="34"/>
      <c r="U4" s="34"/>
      <c r="V4" s="34"/>
      <c r="W4" s="34"/>
    </row>
    <row r="5" spans="2:34" ht="1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row>
    <row r="6" spans="2:34" ht="50.1" customHeight="1">
      <c r="B6" s="7"/>
      <c r="C6" s="33" t="s">
        <v>64</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7">
        <v>2025</v>
      </c>
    </row>
    <row r="7" spans="2:34" ht="30" customHeight="1">
      <c r="B7" s="7"/>
      <c r="C7" s="20" t="str">
        <f>TEXT(WEEKDAY(DATE(CalendarYear,9,1),1),"jjj")</f>
        <v>lun</v>
      </c>
      <c r="D7" s="20" t="str">
        <f>TEXT(WEEKDAY(DATE(CalendarYear,9,2),1),"jjj")</f>
        <v>mar</v>
      </c>
      <c r="E7" s="20" t="str">
        <f>TEXT(WEEKDAY(DATE(CalendarYear,9,3),1),"jjj")</f>
        <v>mer</v>
      </c>
      <c r="F7" s="20" t="str">
        <f>TEXT(WEEKDAY(DATE(CalendarYear,9,4),1),"jjj")</f>
        <v>jeu</v>
      </c>
      <c r="G7" s="20" t="str">
        <f>TEXT(WEEKDAY(DATE(CalendarYear,9,5),1),"jjj")</f>
        <v>ven</v>
      </c>
      <c r="H7" s="20" t="str">
        <f>TEXT(WEEKDAY(DATE(CalendarYear,9,6),1),"jjj")</f>
        <v>sam</v>
      </c>
      <c r="I7" s="20" t="str">
        <f>TEXT(WEEKDAY(DATE(CalendarYear,9,7),1),"jjj")</f>
        <v>dim</v>
      </c>
      <c r="J7" s="20" t="str">
        <f>TEXT(WEEKDAY(DATE(CalendarYear,9,8),1),"jjj")</f>
        <v>lun</v>
      </c>
      <c r="K7" s="20" t="str">
        <f>TEXT(WEEKDAY(DATE(CalendarYear,9,9),1),"jjj")</f>
        <v>mar</v>
      </c>
      <c r="L7" s="20" t="str">
        <f>TEXT(WEEKDAY(DATE(CalendarYear,9,10),1),"jjj")</f>
        <v>mer</v>
      </c>
      <c r="M7" s="20" t="str">
        <f>TEXT(WEEKDAY(DATE(CalendarYear,9,11),1),"jjj")</f>
        <v>jeu</v>
      </c>
      <c r="N7" s="20" t="str">
        <f>TEXT(WEEKDAY(DATE(CalendarYear,9,12),1),"jjj")</f>
        <v>ven</v>
      </c>
      <c r="O7" s="20" t="str">
        <f>TEXT(WEEKDAY(DATE(CalendarYear,9,13),1),"jjj")</f>
        <v>sam</v>
      </c>
      <c r="P7" s="20" t="str">
        <f>TEXT(WEEKDAY(DATE(CalendarYear,9,14),1),"jjj")</f>
        <v>dim</v>
      </c>
      <c r="Q7" s="20" t="str">
        <f>TEXT(WEEKDAY(DATE(CalendarYear,9,15),1),"jjj")</f>
        <v>lun</v>
      </c>
      <c r="R7" s="20" t="str">
        <f>TEXT(WEEKDAY(DATE(CalendarYear,9,16),1),"jjj")</f>
        <v>mar</v>
      </c>
      <c r="S7" s="20" t="str">
        <f>TEXT(WEEKDAY(DATE(CalendarYear,9,17),1),"jjj")</f>
        <v>mer</v>
      </c>
      <c r="T7" s="20" t="str">
        <f>TEXT(WEEKDAY(DATE(CalendarYear,9,18),1),"jjj")</f>
        <v>jeu</v>
      </c>
      <c r="U7" s="20" t="str">
        <f>TEXT(WEEKDAY(DATE(CalendarYear,9,19),1),"jjj")</f>
        <v>ven</v>
      </c>
      <c r="V7" s="20" t="str">
        <f>TEXT(WEEKDAY(DATE(CalendarYear,9,20),1),"jjj")</f>
        <v>sam</v>
      </c>
      <c r="W7" s="20" t="str">
        <f>TEXT(WEEKDAY(DATE(CalendarYear,9,21),1),"jjj")</f>
        <v>dim</v>
      </c>
      <c r="X7" s="20" t="str">
        <f>TEXT(WEEKDAY(DATE(CalendarYear,9,22),1),"jjj")</f>
        <v>lun</v>
      </c>
      <c r="Y7" s="20" t="str">
        <f>TEXT(WEEKDAY(DATE(CalendarYear,9,23),1),"jjj")</f>
        <v>mar</v>
      </c>
      <c r="Z7" s="20" t="str">
        <f>TEXT(WEEKDAY(DATE(CalendarYear,9,24),1),"jjj")</f>
        <v>mer</v>
      </c>
      <c r="AA7" s="20" t="str">
        <f>TEXT(WEEKDAY(DATE(CalendarYear,9,25),1),"jjj")</f>
        <v>jeu</v>
      </c>
      <c r="AB7" s="20" t="str">
        <f>TEXT(WEEKDAY(DATE(CalendarYear,9,26),1),"jjj")</f>
        <v>ven</v>
      </c>
      <c r="AC7" s="20" t="str">
        <f>TEXT(WEEKDAY(DATE(CalendarYear,9,27),1),"jjj")</f>
        <v>sam</v>
      </c>
      <c r="AD7" s="20" t="str">
        <f>TEXT(WEEKDAY(DATE(CalendarYear,9,28),1),"jjj")</f>
        <v>dim</v>
      </c>
      <c r="AE7" s="20" t="str">
        <f>TEXT(WEEKDAY(DATE(CalendarYear,9,29),1),"jjj")</f>
        <v>lun</v>
      </c>
      <c r="AF7" s="20" t="str">
        <f>TEXT(WEEKDAY(DATE(CalendarYear,9,30),1),"jjj")</f>
        <v>mar</v>
      </c>
      <c r="AG7" s="20"/>
      <c r="AH7" s="7"/>
    </row>
    <row r="8" spans="2:34" ht="30" customHeight="1">
      <c r="B8" s="19" t="s">
        <v>65</v>
      </c>
      <c r="C8" s="1" t="s">
        <v>3</v>
      </c>
      <c r="D8" s="1" t="s">
        <v>4</v>
      </c>
      <c r="E8" s="1" t="s">
        <v>5</v>
      </c>
      <c r="F8" s="1" t="s">
        <v>7</v>
      </c>
      <c r="G8" s="1" t="s">
        <v>9</v>
      </c>
      <c r="H8" s="1" t="s">
        <v>10</v>
      </c>
      <c r="I8" s="1" t="s">
        <v>11</v>
      </c>
      <c r="J8" s="1" t="s">
        <v>12</v>
      </c>
      <c r="K8" s="1" t="s">
        <v>13</v>
      </c>
      <c r="L8" s="1" t="s">
        <v>14</v>
      </c>
      <c r="M8" s="1" t="s">
        <v>15</v>
      </c>
      <c r="N8" s="1" t="s">
        <v>16</v>
      </c>
      <c r="O8" s="1" t="s">
        <v>17</v>
      </c>
      <c r="P8" s="1" t="s">
        <v>18</v>
      </c>
      <c r="Q8" s="1" t="s">
        <v>19</v>
      </c>
      <c r="R8" s="1" t="s">
        <v>20</v>
      </c>
      <c r="S8" s="1" t="s">
        <v>21</v>
      </c>
      <c r="T8" s="1" t="s">
        <v>22</v>
      </c>
      <c r="U8" s="1" t="s">
        <v>23</v>
      </c>
      <c r="V8" s="1" t="s">
        <v>24</v>
      </c>
      <c r="W8" s="1" t="s">
        <v>25</v>
      </c>
      <c r="X8" s="1" t="s">
        <v>26</v>
      </c>
      <c r="Y8" s="1" t="s">
        <v>27</v>
      </c>
      <c r="Z8" s="1" t="s">
        <v>28</v>
      </c>
      <c r="AA8" s="1" t="s">
        <v>29</v>
      </c>
      <c r="AB8" s="1" t="s">
        <v>30</v>
      </c>
      <c r="AC8" s="1" t="s">
        <v>31</v>
      </c>
      <c r="AD8" s="1" t="s">
        <v>32</v>
      </c>
      <c r="AE8" s="1" t="s">
        <v>33</v>
      </c>
      <c r="AF8" s="1" t="s">
        <v>34</v>
      </c>
      <c r="AG8" s="1" t="s">
        <v>38</v>
      </c>
      <c r="AH8" s="21" t="s">
        <v>36</v>
      </c>
    </row>
    <row r="9" spans="2:34" ht="30" customHeight="1">
      <c r="B9" s="2" t="s">
        <v>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3">
        <f>COUNTA(Septembre[[#This Row],[1]:[ ]])</f>
        <v>0</v>
      </c>
    </row>
    <row r="10" spans="2:34" ht="30" customHeight="1">
      <c r="B10" s="2" t="s">
        <v>61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
        <f>COUNTA(Septembre[[#This Row],[1]:[ ]])</f>
        <v>0</v>
      </c>
    </row>
    <row r="11" spans="2:34" ht="30" customHeight="1">
      <c r="B11" s="2" t="s">
        <v>62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3">
        <f>COUNTA(Septembre[[#This Row],[1]:[ ]])</f>
        <v>0</v>
      </c>
    </row>
    <row r="12" spans="2:34" ht="30" customHeight="1">
      <c r="B12" s="2" t="s">
        <v>63</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
        <f>COUNTA(Septembre[[#This Row],[1]:[ ]])</f>
        <v>0</v>
      </c>
    </row>
    <row r="13" spans="2:34" ht="30" customHeight="1">
      <c r="B13" s="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3">
        <f>COUNTA(Septembre[[#This Row],[1]:[ ]])</f>
        <v>0</v>
      </c>
    </row>
    <row r="14" spans="2:34" ht="30" customHeight="1">
      <c r="B14" s="5" t="str">
        <f>NomMois&amp;" Total"</f>
        <v>Septembre Total</v>
      </c>
      <c r="C14" s="4">
        <f>SUBTOTAL(103,Septembre[1])</f>
        <v>0</v>
      </c>
      <c r="D14" s="4">
        <f>SUBTOTAL(103,Septembre[2])</f>
        <v>0</v>
      </c>
      <c r="E14" s="4">
        <f>SUBTOTAL(103,Septembre[3])</f>
        <v>0</v>
      </c>
      <c r="F14" s="4">
        <f>SUBTOTAL(103,Septembre[4])</f>
        <v>0</v>
      </c>
      <c r="G14" s="4">
        <f>SUBTOTAL(103,Septembre[5])</f>
        <v>0</v>
      </c>
      <c r="H14" s="4">
        <f>SUBTOTAL(103,Septembre[6])</f>
        <v>0</v>
      </c>
      <c r="I14" s="4">
        <f>SUBTOTAL(103,Septembre[7])</f>
        <v>0</v>
      </c>
      <c r="J14" s="4">
        <f>SUBTOTAL(103,Septembre[8])</f>
        <v>0</v>
      </c>
      <c r="K14" s="4">
        <f>SUBTOTAL(103,Septembre[9])</f>
        <v>0</v>
      </c>
      <c r="L14" s="4">
        <f>SUBTOTAL(103,Septembre[10])</f>
        <v>0</v>
      </c>
      <c r="M14" s="4">
        <f>SUBTOTAL(103,Septembre[11])</f>
        <v>0</v>
      </c>
      <c r="N14" s="4">
        <f>SUBTOTAL(103,Septembre[12])</f>
        <v>0</v>
      </c>
      <c r="O14" s="4">
        <f>SUBTOTAL(103,Septembre[13])</f>
        <v>0</v>
      </c>
      <c r="P14" s="4">
        <f>SUBTOTAL(103,Septembre[14])</f>
        <v>0</v>
      </c>
      <c r="Q14" s="4">
        <f>SUBTOTAL(103,Septembre[15])</f>
        <v>0</v>
      </c>
      <c r="R14" s="4">
        <f>SUBTOTAL(103,Septembre[16])</f>
        <v>0</v>
      </c>
      <c r="S14" s="4">
        <f>SUBTOTAL(103,Septembre[17])</f>
        <v>0</v>
      </c>
      <c r="T14" s="4">
        <f>SUBTOTAL(103,Septembre[18])</f>
        <v>0</v>
      </c>
      <c r="U14" s="4">
        <f>SUBTOTAL(103,Septembre[19])</f>
        <v>0</v>
      </c>
      <c r="V14" s="4">
        <f>SUBTOTAL(103,Septembre[20])</f>
        <v>0</v>
      </c>
      <c r="W14" s="4">
        <f>SUBTOTAL(103,Septembre[21])</f>
        <v>0</v>
      </c>
      <c r="X14" s="4">
        <f>SUBTOTAL(103,Septembre[22])</f>
        <v>0</v>
      </c>
      <c r="Y14" s="4">
        <f>SUBTOTAL(103,Septembre[23])</f>
        <v>0</v>
      </c>
      <c r="Z14" s="4">
        <f>SUBTOTAL(103,Septembre[24])</f>
        <v>0</v>
      </c>
      <c r="AA14" s="4">
        <f>SUBTOTAL(103,Septembre[25])</f>
        <v>0</v>
      </c>
      <c r="AB14" s="4">
        <f>SUBTOTAL(103,Septembre[26])</f>
        <v>0</v>
      </c>
      <c r="AC14" s="4">
        <f>SUBTOTAL(103,Septembre[27])</f>
        <v>0</v>
      </c>
      <c r="AD14" s="4">
        <f>SUBTOTAL(103,Septembre[28])</f>
        <v>0</v>
      </c>
      <c r="AE14" s="4">
        <f>SUBTOTAL(103,Septembre[29])</f>
        <v>0</v>
      </c>
      <c r="AF14" s="4">
        <f>SUBTOTAL(109,Septembre[30])</f>
        <v>0</v>
      </c>
      <c r="AG14" s="4">
        <f>SUBTOTAL(109,Septembre[[ ]])</f>
        <v>0</v>
      </c>
      <c r="AH14" s="4">
        <f>SUBTOTAL(109,Septembre[Total des jours])</f>
        <v>0</v>
      </c>
    </row>
  </sheetData>
  <mergeCells count="6">
    <mergeCell ref="C6:AG6"/>
    <mergeCell ref="D4:E4"/>
    <mergeCell ref="G4:I4"/>
    <mergeCell ref="K4:L4"/>
    <mergeCell ref="O4:R4"/>
    <mergeCell ref="T4:W4"/>
  </mergeCells>
  <phoneticPr fontId="32" type="noConversion"/>
  <conditionalFormatting sqref="C9:AG13">
    <cfRule type="expression" priority="1" stopIfTrue="1">
      <formula>C9=""</formula>
    </cfRule>
    <cfRule type="expression" dxfId="288" priority="2" stopIfTrue="1">
      <formula>C9=CléPersonnalisée2</formula>
    </cfRule>
    <cfRule type="expression" dxfId="287" priority="3" stopIfTrue="1">
      <formula>C9=CléPersonnalisée1</formula>
    </cfRule>
    <cfRule type="expression" dxfId="286" priority="4" stopIfTrue="1">
      <formula>C9=CléMaladie</formula>
    </cfRule>
    <cfRule type="expression" dxfId="285" priority="5" stopIfTrue="1">
      <formula>C9=CléPersonnel</formula>
    </cfRule>
    <cfRule type="expression" dxfId="284" priority="6" stopIfTrue="1">
      <formula>C9=CléCongé</formula>
    </cfRule>
  </conditionalFormatting>
  <conditionalFormatting sqref="AH9:AH13">
    <cfRule type="dataBar" priority="7">
      <dataBar>
        <cfvo type="min"/>
        <cfvo type="formula" val="DATEDIF(DATE(CalendarYear,2,1),DATE(CalendarYear,3,1),&quot;d&quot;)"/>
        <color theme="2" tint="-0.249977111117893"/>
      </dataBar>
      <extLst>
        <ext xmlns:x14="http://schemas.microsoft.com/office/spreadsheetml/2009/9/main" uri="{B025F937-C7B1-47D3-B67F-A62EFF666E3E}">
          <x14:id>{1A021984-06A1-41D9-90D2-8C16E885020B}</x14:id>
        </ext>
      </extLst>
    </cfRule>
  </conditionalFormatting>
  <dataValidations count="15">
    <dataValidation allowBlank="1" showInputMessage="1" showErrorMessage="1" prompt="Les jours du mois de cette ligne sont générés automatiquement. Entrez l’absence et le motif d’absence d’un employé dans chaque colonne pour chaque jour du mois. Un champ vide indique qu’il n’y a pas eu d’absence" sqref="C8" xr:uid="{9DDE2A21-51EA-3649-A2EE-B04BD18F4ABA}"/>
    <dataValidation allowBlank="1" showInputMessage="1" showErrorMessage="1" prompt="Le nom du mois pour ce calendrier des absences se trouve dans cette cellule. Le total des absences pour ce mois figure dans la dernière cellule du tableau. Vous pouvez sélectionner les noms des employés dans la colonne B du tableau" sqref="B2" xr:uid="{00000000-0002-0000-0800-000001000000}"/>
    <dataValidation allowBlank="1" showInputMessage="1" showErrorMessage="1" prompt="Entrez une étiquette pour décrire la clé personnalisée à gauche" sqref="T4 O4" xr:uid="{893E5947-8ED5-49DF-85E1-3860493EECB6}"/>
    <dataValidation allowBlank="1" showInputMessage="1" showErrorMessage="1" prompt="Entrez une lettre et personnalisez l’étiquette à droite pour ajouter un élément de clé" sqref="S4 N4" xr:uid="{895027F3-CCDA-45A5-9F93-0DA32FD84220}"/>
    <dataValidation allowBlank="1" showInputMessage="1" showErrorMessage="1" prompt="La lettre « M » indique une absence pour cause de maladie" sqref="J4" xr:uid="{ED2F034D-D940-476B-BA61-EB34CB8ABF93}"/>
    <dataValidation allowBlank="1" showInputMessage="1" showErrorMessage="1" prompt="La lettre « P » indique une absence pour motifs personnels" sqref="F4" xr:uid="{AED57AEE-7B00-452B-BD03-D5D48E2A4274}"/>
    <dataValidation allowBlank="1" showInputMessage="1" showErrorMessage="1" prompt="La lettre « C » indique une absence pour cause de congé" sqref="C4" xr:uid="{6423F03C-EB9B-4235-9EDC-5F33E7A2C0EA}"/>
    <dataValidation allowBlank="1" showInputMessage="1" showErrorMessage="1" prompt="Le titre mis à jour automatiquement figure dans cette cellule. Pour modifier le titre, mettez à jour la cellule B1 de la feuille de calcul Janvier" sqref="B2" xr:uid="{00000000-0002-0000-0800-000008000000}"/>
    <dataValidation allowBlank="1" showInputMessage="1" showErrorMessage="1" prompt="Suivez les absences du mois de septembre dans cette feuille de calcul" sqref="A1" xr:uid="{00000000-0002-0000-0800-00000A000000}"/>
    <dataValidation allowBlank="1" showInputMessage="1" showErrorMessage="1" prompt="Calcule automatiquement le nombre total de jours d’absence d’un employé durant ce mois dans cette colonne" sqref="AH8" xr:uid="{5C77DC9E-A1AE-7C41-B518-6426DAF8D1EE}"/>
    <dataValidation allowBlank="1" showInputMessage="1" showErrorMessage="1" prompt="Les jours de la semaine de cette ligne sont automatiquement mis à jour pour le mois en fonction de l’année dans AH4. Chaque jour du mois est une colonne dans laquelle sont notés l’absence et le motif de l’absence d’un employé" sqref="C7" xr:uid="{D85777C8-14EB-B748-8BBD-8B9BF124E384}"/>
    <dataValidation allowBlank="1" showInputMessage="1" showErrorMessage="1" prompt="Cette ligne définit les clés utilisées dans le tableau : la cellule C4 un congé, la G4 personnel, et K4 un congé maladie. Les cellules N4 et R4 sont personnalisables " sqref="B4" xr:uid="{441D15A5-54E1-4730-8346-C84F86AB66B6}"/>
    <dataValidation allowBlank="1" showInputMessage="1" showErrorMessage="1" prompt="Le titre de la feuille de calcul figure dans cette cellule. " sqref="B1" xr:uid="{0953CFC8-4650-4E7C-8BF5-79F178A6FC51}"/>
    <dataValidation errorStyle="warning" allowBlank="1" showInputMessage="1" showErrorMessage="1" error="Sélectionnez un nom dans la liste. Sélectionnez ANNULER, appuyez sur ALT+FLÈCHE BAS, puis sur ENTRÉE pour sélectionner un nom" prompt="Entrez les noms des employés dans la feuille de calcul ayant pour titre Noms des employés, puis sélectionnez un des noms de la liste figurant dans cette colonne. Appuyez sur ALT+FLÈCHE BAS, puis sur ENTRÉE pour sélectionner un nom" sqref="B8" xr:uid="{4C2669DE-5149-46C4-821A-1084522A1D68}"/>
    <dataValidation allowBlank="1" showInputMessage="1" showErrorMessage="1" prompt="Entrez l’année dans cette cellule" sqref="AH6" xr:uid="{56EB16BA-8899-40C5-86AE-EBAD3DCCDFE8}"/>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A021984-06A1-41D9-90D2-8C16E885020B}">
            <x14:dataBar minLength="0" maxLength="100">
              <x14:cfvo type="autoMin"/>
              <x14:cfvo type="formula">
                <xm:f>DATEDIF(DATE(CalendarYear,2,1),DATE(CalendarYear,3,1),"d")</xm:f>
              </x14:cfvo>
              <x14:negativeFillColor rgb="FFFF0000"/>
              <x14:axisColor rgb="FF000000"/>
            </x14:dataBar>
          </x14:cfRule>
          <xm:sqref>AH9:AH13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E000000}">
          <x14:formula1>
            <xm:f>'Noms des Associations'!$B$4:$B$8</xm:f>
          </x14:formula1>
          <xm:sqref>B9:B13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416EBA-1ECE-4253-8F5F-379C4C21BCA1}">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07D05670-3C2E-4910-93A4-3F46AB1A1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1DB48D-B39A-4027-AC09-EC0D149B5064}">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TM03987167</Templat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50</vt:i4>
      </vt:variant>
    </vt:vector>
  </HeadingPairs>
  <TitlesOfParts>
    <vt:vector size="63" baseType="lpstr">
      <vt:lpstr>Janvier</vt:lpstr>
      <vt:lpstr>Février</vt:lpstr>
      <vt:lpstr>Mars</vt:lpstr>
      <vt:lpstr>Avril</vt:lpstr>
      <vt:lpstr>Mai</vt:lpstr>
      <vt:lpstr>Juin</vt:lpstr>
      <vt:lpstr>Juillet</vt:lpstr>
      <vt:lpstr>Août</vt:lpstr>
      <vt:lpstr>Septembre</vt:lpstr>
      <vt:lpstr>Octobre</vt:lpstr>
      <vt:lpstr>Novembre</vt:lpstr>
      <vt:lpstr>Décembre</vt:lpstr>
      <vt:lpstr>Noms des Associations</vt:lpstr>
      <vt:lpstr>CalendarYear</vt:lpstr>
      <vt:lpstr>CléCongé</vt:lpstr>
      <vt:lpstr>CléMaladie</vt:lpstr>
      <vt:lpstr>CléPersonnalisée1</vt:lpstr>
      <vt:lpstr>CléPersonnalisée2</vt:lpstr>
      <vt:lpstr>CléPersonnel</vt:lpstr>
      <vt:lpstr>ÉtiquetteCléCongé</vt:lpstr>
      <vt:lpstr>ÉtiquetteCléMaladie</vt:lpstr>
      <vt:lpstr>ÉtiquetteCléPersonnalisée1</vt:lpstr>
      <vt:lpstr>ÉtiquetteCléPersonnalisée2</vt:lpstr>
      <vt:lpstr>ÉtiquetteCléPersonnel</vt:lpstr>
      <vt:lpstr>Août!Impression_des_titres</vt:lpstr>
      <vt:lpstr>Avril!Impression_des_titres</vt:lpstr>
      <vt:lpstr>Décembre!Impression_des_titres</vt:lpstr>
      <vt:lpstr>Février!Impression_des_titres</vt:lpstr>
      <vt:lpstr>Janvier!Impression_des_titres</vt:lpstr>
      <vt:lpstr>Juillet!Impression_des_titres</vt:lpstr>
      <vt:lpstr>Juin!Impression_des_titres</vt:lpstr>
      <vt:lpstr>Mai!Impression_des_titres</vt:lpstr>
      <vt:lpstr>Mars!Impression_des_titres</vt:lpstr>
      <vt:lpstr>Novembre!Impression_des_titres</vt:lpstr>
      <vt:lpstr>Octobre!Impression_des_titres</vt:lpstr>
      <vt:lpstr>Septembre!Impression_des_titres</vt:lpstr>
      <vt:lpstr>Nom_clé</vt:lpstr>
      <vt:lpstr>Août!NomMois</vt:lpstr>
      <vt:lpstr>Avril!NomMois</vt:lpstr>
      <vt:lpstr>Décembre!NomMois</vt:lpstr>
      <vt:lpstr>Février!NomMois</vt:lpstr>
      <vt:lpstr>Janvier!NomMois</vt:lpstr>
      <vt:lpstr>Juillet!NomMois</vt:lpstr>
      <vt:lpstr>Juin!NomMois</vt:lpstr>
      <vt:lpstr>Mai!NomMois</vt:lpstr>
      <vt:lpstr>Mars!NomMois</vt:lpstr>
      <vt:lpstr>Novembre!NomMois</vt:lpstr>
      <vt:lpstr>Octobre!NomMois</vt:lpstr>
      <vt:lpstr>Septembre!NomMois</vt:lpstr>
      <vt:lpstr>Titre_Absence_Employé</vt:lpstr>
      <vt:lpstr>Titre1</vt:lpstr>
      <vt:lpstr>Titre10</vt:lpstr>
      <vt:lpstr>Titre11</vt:lpstr>
      <vt:lpstr>Titre12</vt:lpstr>
      <vt:lpstr>Titre2</vt:lpstr>
      <vt:lpstr>Titre3</vt:lpstr>
      <vt:lpstr>Titre4</vt:lpstr>
      <vt:lpstr>Titre5</vt:lpstr>
      <vt:lpstr>Titre6</vt:lpstr>
      <vt:lpstr>Titre7</vt:lpstr>
      <vt:lpstr>Titre8</vt:lpstr>
      <vt:lpstr>Titre9</vt:lpstr>
      <vt:lpstr>TitreColonne13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2023-01-31T06:59:27Z</dcterms:created>
  <dcterms:modified xsi:type="dcterms:W3CDTF">2025-05-12T08:54:22Z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